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800" tabRatio="794" firstSheet="6" activeTab="13"/>
  </bookViews>
  <sheets>
    <sheet name="งบทดลองก่อนปิด-หลังปิด" sheetId="1" r:id="rId1"/>
    <sheet name="หมายเหตงบทดลองก่อนปิด-หลังปิด" sheetId="2" r:id="rId2"/>
    <sheet name="รับ-จ่าย" sheetId="3" r:id="rId3"/>
    <sheet name="หมายเหตุรับ-จ่าย" sheetId="4" r:id="rId4"/>
    <sheet name="ใบผ่าน" sheetId="5" r:id="rId5"/>
    <sheet name="งบแสดงฐานะการเงิน" sheetId="6" r:id="rId6"/>
    <sheet name="หมายเหตุ 1 นโยบายฯ" sheetId="7" r:id="rId7"/>
    <sheet name="งบทรัพย์สิน" sheetId="8" r:id="rId8"/>
    <sheet name="หมายเหตุ 3,4,5,6" sheetId="9" r:id="rId9"/>
    <sheet name="หมายเหตุ 7" sheetId="10" r:id="rId10"/>
    <sheet name="หมายเหตุ 8" sheetId="11" r:id="rId11"/>
    <sheet name="หมายเหตุ9-11" sheetId="12" r:id="rId12"/>
    <sheet name="หมายเหตุ12-14" sheetId="13" r:id="rId13"/>
    <sheet name="หมายเหตุ 15-18" sheetId="14" r:id="rId14"/>
    <sheet name="หมายเหตุ 19-20" sheetId="15" r:id="rId15"/>
    <sheet name="หมายเหตุ 21" sheetId="16" r:id="rId16"/>
    <sheet name="รายละเอียดแนบท้ายหมายเหตุ21" sheetId="17" r:id="rId17"/>
    <sheet name="หมายเหตุ 22" sheetId="18" r:id="rId18"/>
    <sheet name="ตามแผนงาน 1" sheetId="19" r:id="rId19"/>
    <sheet name="ตามแผนงาน 2" sheetId="20" r:id="rId20"/>
    <sheet name="ตามแผนงาน 3" sheetId="21" r:id="rId21"/>
    <sheet name="ตามแผนงาน 4" sheetId="22" r:id="rId22"/>
    <sheet name="ตามแผนงาน 5" sheetId="23" r:id="rId23"/>
    <sheet name="ตามแผนงาน 6" sheetId="24" r:id="rId24"/>
    <sheet name="ตามแผนงาน 7" sheetId="25" r:id="rId25"/>
    <sheet name="ตามแผนงาน 8" sheetId="26" r:id="rId26"/>
    <sheet name="ตามแผนงาน 9" sheetId="27" r:id="rId27"/>
    <sheet name="ตามแผนงาน 10" sheetId="28" r:id="rId28"/>
    <sheet name="ตามแผนงาน 11" sheetId="29" r:id="rId29"/>
    <sheet name="ตามแผนงาน 12" sheetId="30" r:id="rId30"/>
    <sheet name="ตามแผนงานรวม" sheetId="31" r:id="rId31"/>
    <sheet name="จ่ายจากเงินสะสม" sheetId="32" r:id="rId32"/>
    <sheet name="จ่ายจากเงินทุนสำรองเงินสะสม " sheetId="33" r:id="rId33"/>
    <sheet name="จ่ายจากเงินกู้" sheetId="34" r:id="rId34"/>
    <sheet name="งบแสดงผลจ่ายจากเงินรายรับ" sheetId="35" r:id="rId35"/>
    <sheet name="งบแสดงผลฯเงินรายรับ เงินสะสม" sheetId="36" r:id="rId36"/>
    <sheet name="งบแสดงผลฯเงินรายรับ สะสม ทุน" sheetId="37" r:id="rId37"/>
    <sheet name="งบแสดงฯเงินรายรับ สะสม ทุน กู้" sheetId="38" r:id="rId38"/>
    <sheet name="ครุภัณฑ์" sheetId="39" r:id="rId39"/>
    <sheet name="ที่ดินและสิ่งก่อสร้าง" sheetId="40" r:id="rId40"/>
    <sheet name="รายละเอียดลูกหนี้ภาษีบำฯ" sheetId="41" r:id="rId41"/>
    <sheet name="รายละเอียดลูกหนี้ภาษีโรงฯ" sheetId="42" r:id="rId42"/>
    <sheet name="รายละเอียดลูกหนี้ภาษีป้าย" sheetId="43" r:id="rId43"/>
    <sheet name="รายละเอียดประกอบงบทรัพย์สิน" sheetId="44" r:id="rId44"/>
  </sheets>
  <externalReferences>
    <externalReference r:id="rId47"/>
  </externalReferences>
  <definedNames>
    <definedName name="_xlnm.Print_Area" localSheetId="7">'งบทรัพย์สิน'!$A$1:$F$43</definedName>
    <definedName name="_xlnm.Print_Area" localSheetId="5">'งบแสดงฐานะการเงิน'!$A$1:$I$61</definedName>
    <definedName name="_xlnm.Print_Titles" localSheetId="34">'งบแสดงผลจ่ายจากเงินรายรับ'!$1:$3</definedName>
    <definedName name="_xlnm.Print_Titles" localSheetId="35">'งบแสดงผลฯเงินรายรับ เงินสะสม'!$A:$E,'งบแสดงผลฯเงินรายรับ เงินสะสม'!$1:$3</definedName>
    <definedName name="_xlnm.Print_Titles" localSheetId="36">'งบแสดงผลฯเงินรายรับ สะสม ทุน'!$1:$3</definedName>
    <definedName name="_xlnm.Print_Titles" localSheetId="37">'งบแสดงฯเงินรายรับ สะสม ทุน กู้'!$1:$3</definedName>
    <definedName name="_xlnm.Print_Titles" localSheetId="33">'จ่ายจากเงินกู้'!$1:$3</definedName>
    <definedName name="_xlnm.Print_Titles" localSheetId="32">'จ่ายจากเงินทุนสำรองเงินสะสม '!$1:$3</definedName>
    <definedName name="_xlnm.Print_Titles" localSheetId="31">'จ่ายจากเงินสะสม'!$1:$3</definedName>
    <definedName name="_xlnm.Print_Titles" localSheetId="18">'ตามแผนงาน 1'!$1:$3</definedName>
    <definedName name="_xlnm.Print_Titles" localSheetId="27">'ตามแผนงาน 10'!$1:$3</definedName>
    <definedName name="_xlnm.Print_Titles" localSheetId="28">'ตามแผนงาน 11'!$1:$3</definedName>
    <definedName name="_xlnm.Print_Titles" localSheetId="29">'ตามแผนงาน 12'!$1:$3</definedName>
    <definedName name="_xlnm.Print_Titles" localSheetId="19">'ตามแผนงาน 2'!$1:$3</definedName>
    <definedName name="_xlnm.Print_Titles" localSheetId="20">'ตามแผนงาน 3'!$1:$3</definedName>
    <definedName name="_xlnm.Print_Titles" localSheetId="21">'ตามแผนงาน 4'!$1:$3</definedName>
    <definedName name="_xlnm.Print_Titles" localSheetId="22">'ตามแผนงาน 5'!$1:$3</definedName>
    <definedName name="_xlnm.Print_Titles" localSheetId="23">'ตามแผนงาน 6'!$1:$3</definedName>
    <definedName name="_xlnm.Print_Titles" localSheetId="24">'ตามแผนงาน 7'!$1:$3</definedName>
    <definedName name="_xlnm.Print_Titles" localSheetId="25">'ตามแผนงาน 8'!$1:$3</definedName>
    <definedName name="_xlnm.Print_Titles" localSheetId="26">'ตามแผนงาน 9'!$1:$3</definedName>
    <definedName name="_xlnm.Print_Titles" localSheetId="30">'ตามแผนงานรวม'!$1:$3</definedName>
    <definedName name="_xlnm.Print_Titles" localSheetId="16">'รายละเอียดแนบท้ายหมายเหตุ21'!$1:$3</definedName>
    <definedName name="_xlnm.Print_Titles" localSheetId="43">'รายละเอียดประกอบงบทรัพย์สิน'!$1:$2</definedName>
    <definedName name="_xlnm.Print_Titles" localSheetId="40">'รายละเอียดลูกหนี้ภาษีบำฯ'!$1:$3</definedName>
    <definedName name="_xlnm.Print_Titles" localSheetId="42">'รายละเอียดลูกหนี้ภาษีป้าย'!$2:$4</definedName>
    <definedName name="_xlnm.Print_Titles" localSheetId="41">'รายละเอียดลูกหนี้ภาษีโรงฯ'!$2:$4</definedName>
    <definedName name="_xlnm.Print_Titles" localSheetId="6">'หมายเหตุ 1 นโยบายฯ'!$1:$3</definedName>
    <definedName name="_xlnm.Print_Titles" localSheetId="13">'หมายเหตุ 15-18'!$1:$3</definedName>
    <definedName name="_xlnm.Print_Titles" localSheetId="14">'หมายเหตุ 19-20'!$1:$3</definedName>
    <definedName name="_xlnm.Print_Titles" localSheetId="15">'หมายเหตุ 21'!$1:$3</definedName>
    <definedName name="_xlnm.Print_Titles" localSheetId="17">'หมายเหตุ 22'!$1:$3</definedName>
    <definedName name="_xlnm.Print_Titles" localSheetId="8">'หมายเหตุ 3,4,5,6'!$1:$3</definedName>
    <definedName name="_xlnm.Print_Titles" localSheetId="9">'หมายเหตุ 7'!$1:$3</definedName>
    <definedName name="_xlnm.Print_Titles" localSheetId="10">'หมายเหตุ 8'!$1:$3</definedName>
    <definedName name="_xlnm.Print_Titles" localSheetId="12">'หมายเหตุ12-14'!$1:$3</definedName>
    <definedName name="_xlnm.Print_Titles" localSheetId="11">'หมายเหตุ9-11'!$1:$3</definedName>
  </definedNames>
  <calcPr fullCalcOnLoad="1"/>
</workbook>
</file>

<file path=xl/sharedStrings.xml><?xml version="1.0" encoding="utf-8"?>
<sst xmlns="http://schemas.openxmlformats.org/spreadsheetml/2006/main" count="2301" uniqueCount="711">
  <si>
    <t>งบแสดงฐานะการเงิน</t>
  </si>
  <si>
    <t>สินทรัพย์</t>
  </si>
  <si>
    <t>ทรัพย์สินตามงบทรัพย์สิน</t>
  </si>
  <si>
    <t>เงินสดและเงินฝากธนาคาร</t>
  </si>
  <si>
    <t>ลูกหนี้ค่าภาษี</t>
  </si>
  <si>
    <t>ลูกหนี้เงินยืม</t>
  </si>
  <si>
    <t>ลูกหนี้เงินยืมเงินสะสม</t>
  </si>
  <si>
    <t>ลูกหนี้เงินทุนโครงการเศรษฐกิจชุมชน</t>
  </si>
  <si>
    <t>ลูกหนี้อื่น ๆ</t>
  </si>
  <si>
    <t>หุ้นในโรงพิมพ์อาสารักษาดินแดน</t>
  </si>
  <si>
    <t>รวมสินทรัพย์</t>
  </si>
  <si>
    <t>หนี้สิน</t>
  </si>
  <si>
    <t>ทุนทรัพย์สิน</t>
  </si>
  <si>
    <t>เงินรับฝาก</t>
  </si>
  <si>
    <t>รายจ่ายค้างจ่าย</t>
  </si>
  <si>
    <t>ฏีกาค้างจ่าย</t>
  </si>
  <si>
    <t>รายจ่ายผัดส่งใบสำคัญ</t>
  </si>
  <si>
    <t>เจ้าหนี้เงินกู้</t>
  </si>
  <si>
    <t>หนี้สินหมุนเวียนอื่น</t>
  </si>
  <si>
    <t>หนี้สินไม่หมุนเวียนอื่น</t>
  </si>
  <si>
    <t>รวมหนี้สิน</t>
  </si>
  <si>
    <t xml:space="preserve">เงินสะสม  </t>
  </si>
  <si>
    <t>เงินทุนสำรองเงินสะสม</t>
  </si>
  <si>
    <t>รวมเงินสะสม</t>
  </si>
  <si>
    <t>รวมหนี้สินและเงินสะสม</t>
  </si>
  <si>
    <t>งบทรัพย์สิน</t>
  </si>
  <si>
    <t>รายได้</t>
  </si>
  <si>
    <t>เงินกู้</t>
  </si>
  <si>
    <t>เงินอุดหนุน</t>
  </si>
  <si>
    <t>ประมาณการ</t>
  </si>
  <si>
    <t>จำนวนเงิน</t>
  </si>
  <si>
    <t>รายการ</t>
  </si>
  <si>
    <t>รายรับ</t>
  </si>
  <si>
    <t>รายจ่าย</t>
  </si>
  <si>
    <t>ก.  อสังหาริมทรัพย์</t>
  </si>
  <si>
    <t>ประเภททรัพย์สิน</t>
  </si>
  <si>
    <t>ข.  สังหาริมทรัพย์</t>
  </si>
  <si>
    <t>ราคาทรัพย์สิน</t>
  </si>
  <si>
    <t>รวมรายรับ</t>
  </si>
  <si>
    <t>แหล่งที่มาของทรัพย์สิน</t>
  </si>
  <si>
    <t>งบแสดงผลการดำเนินงานจ่ายจากเงินรายรับ</t>
  </si>
  <si>
    <t>ภาษีอากร</t>
  </si>
  <si>
    <t>ค่าธรรมเนียมค่าปรับและใบอนุญาต</t>
  </si>
  <si>
    <t>รายได้เบ็ดเตล็ด</t>
  </si>
  <si>
    <t>รายได้จากทุน</t>
  </si>
  <si>
    <t>ค่าตอบแทน</t>
  </si>
  <si>
    <t>ค่าใช้สอย</t>
  </si>
  <si>
    <t>ค่าวัสดุ</t>
  </si>
  <si>
    <t>รายจ่ายอื่น</t>
  </si>
  <si>
    <t>งบกลาง</t>
  </si>
  <si>
    <t>ค่าที่ดินและสิ่งก่อสร้าง</t>
  </si>
  <si>
    <t>รายได้จากทรัพย์สิน</t>
  </si>
  <si>
    <t>เงินสะสม</t>
  </si>
  <si>
    <t>หมายเหตุ</t>
  </si>
  <si>
    <t>สินทรัพย์หมุนเวียน</t>
  </si>
  <si>
    <t>รายได้จากรัฐบาลค้างรับ</t>
  </si>
  <si>
    <t xml:space="preserve">ลูกหนี้รายได้อื่น ๆ </t>
  </si>
  <si>
    <t xml:space="preserve">สินทรัพย์หมุนเวียนอื่น </t>
  </si>
  <si>
    <t>รวมสินทรัพย์หมุนเวียน</t>
  </si>
  <si>
    <t>รวมไม่สินทรัพย์หมุนเวียน</t>
  </si>
  <si>
    <t>หนี้สินหมุนเวียน</t>
  </si>
  <si>
    <t>รวมหนี้สินหมุนเวียน</t>
  </si>
  <si>
    <t>หนี้สินไม่หมุนเวียน</t>
  </si>
  <si>
    <t>รวมหนี้สินไม่หมุนเวียน</t>
  </si>
  <si>
    <t>ชื่อ</t>
  </si>
  <si>
    <t>หมายเหตุประกอบงบแสดงฐานะการเงิน</t>
  </si>
  <si>
    <t>หมายเหตุ 3  เงินสดและเงินฝากธนาคาร</t>
  </si>
  <si>
    <t>เงินสด</t>
  </si>
  <si>
    <t>รวม</t>
  </si>
  <si>
    <t>ประเภทลูกหนี้</t>
  </si>
  <si>
    <t>ประจำปี</t>
  </si>
  <si>
    <t>จำนวนราย</t>
  </si>
  <si>
    <t>ลูกหนี้ภาษีโรงเรือนและที่ดิน</t>
  </si>
  <si>
    <t>รวมทั้งสิ้น</t>
  </si>
  <si>
    <t>ลูกหนี้ภาษีบำรุงท้องที่</t>
  </si>
  <si>
    <t>ลูกหนี้ภาษีป้าย</t>
  </si>
  <si>
    <t>แหล่งเงิน</t>
  </si>
  <si>
    <t>แผนงาน</t>
  </si>
  <si>
    <t>งาน</t>
  </si>
  <si>
    <t>หมวด</t>
  </si>
  <si>
    <t>ประเภท</t>
  </si>
  <si>
    <t>โครงการ</t>
  </si>
  <si>
    <t>รายรับจริงสูงกว่ารายจ่ายจริง</t>
  </si>
  <si>
    <t>บวก</t>
  </si>
  <si>
    <t>รายรับจริงสูงกว่ารายจ่ายจริงหลังหักเงินทุนสำรองเงินสะสม</t>
  </si>
  <si>
    <t>หัก</t>
  </si>
  <si>
    <t>จ่ายขาดเงินสะสม</t>
  </si>
  <si>
    <t>4. ลูกหนี้รายได้อื่น ๆ</t>
  </si>
  <si>
    <t>6. เงินสะสมที่สามารถนำไปใช้ได้</t>
  </si>
  <si>
    <t>จำนวนเงินที่ได้รับอนุมัติ</t>
  </si>
  <si>
    <t>ก่อหนี้ผูกพัน</t>
  </si>
  <si>
    <t>เบิกจ่ายแล้ว</t>
  </si>
  <si>
    <t>คงเหลือ</t>
  </si>
  <si>
    <t>ยังไม่ได้ก่อหนี้</t>
  </si>
  <si>
    <t>งบ</t>
  </si>
  <si>
    <t>หมายเหตุ   ระบุเงินงบประมาณหรือเงินอุดหนุนระบุวัตถุประสงค์ / เฉพาะกิจ</t>
  </si>
  <si>
    <t>งบบุคลากร</t>
  </si>
  <si>
    <t>เงินเดือน(ฝ่ายการเมือง)</t>
  </si>
  <si>
    <t>เงินเดือน(ฝ่ายประจำ)</t>
  </si>
  <si>
    <t>งบดำเนินการ</t>
  </si>
  <si>
    <t>ค่าสาธารณูปโภค</t>
  </si>
  <si>
    <t>ค่าครุภัณฑ์</t>
  </si>
  <si>
    <t>งบลงทุน</t>
  </si>
  <si>
    <t>งบรายจ่ายอื่น</t>
  </si>
  <si>
    <t>งบเงินอุดหนุน</t>
  </si>
  <si>
    <t>รายงานรายจ่ายในการดำเนินงานที่จ่ายจากเงินรายรับตามแผนงาน  ...บริหารงานทั่วไป...</t>
  </si>
  <si>
    <t>งานบริหารงานทั่วไป</t>
  </si>
  <si>
    <t>งานวางแผนสถิติและวิชาการ</t>
  </si>
  <si>
    <t>งานบริหารงานคลัง</t>
  </si>
  <si>
    <t>รายงานรายจ่ายในการดำเนินงานที่จ่ายจากเงินรายรับตามแผนงาน  ...การรักษาความสงบภายใน...</t>
  </si>
  <si>
    <t>งานบริหารงานทั่วไปเกี่ยวกับการรักษาความสงบภายใน</t>
  </si>
  <si>
    <t>งานเทศกิจ</t>
  </si>
  <si>
    <t>งานป้องกันฝ่ายพลเรือนและระงับอัคคีภัย</t>
  </si>
  <si>
    <t>รายงานรายจ่ายในการดำเนินงานที่จ่ายจากเงินรายรับตามแผนงาน  ...การศึกษา...</t>
  </si>
  <si>
    <t>งานบริหารงานทั่วไปเกี่ยวกับการศึกษา</t>
  </si>
  <si>
    <t>งานระดับก่อน
วัยเรียนและ
ประถมศึกษา</t>
  </si>
  <si>
    <t>งานระดับ
มัธยมศึกษา</t>
  </si>
  <si>
    <t>งานศึกษาไม่
กำหนดระดับ</t>
  </si>
  <si>
    <t>รายงานรายจ่ายในการดำเนินงานที่จ่ายจากเงินรายรับตามแผนงาน  ...สาธารณสุข...</t>
  </si>
  <si>
    <t>งานบริหารทั่วไป
เกี่ยวกับสาธารณสุข</t>
  </si>
  <si>
    <t>งานโรงพยาบาล</t>
  </si>
  <si>
    <t>งานบริการ
สาธารณสุขและ
งานสาธารณสุขอื่น</t>
  </si>
  <si>
    <t>งานศูนย์บริการ
สาธารณสุข</t>
  </si>
  <si>
    <t>รายงานรายจ่ายในการดำเนินงานที่จ่ายจากเงินรายรับตามแผนงาน  ...สังคมสงเคราะห์...</t>
  </si>
  <si>
    <t>งานบริหารทั่วไป
เกี่ยวกับสังคมสงเคราะห์</t>
  </si>
  <si>
    <t>งานสวัสดิการสังคม
และสังคมสงเคราะห์</t>
  </si>
  <si>
    <t>รายงานรายจ่ายในการดำเนินงานที่จ่ายจากเงินรายรับตามแผนงาน  ...เคหะและชุมชน...</t>
  </si>
  <si>
    <t>งานบริหาร
ทั่วไปเกี่ยวกับ
เคหะชุมชม</t>
  </si>
  <si>
    <t>งานไฟฟ้าถนน</t>
  </si>
  <si>
    <t>งาน
สวนสาธารณะ</t>
  </si>
  <si>
    <t>งานกำจัดขยะ
มูลฝอยและสิ่ง
ปฏิกูล</t>
  </si>
  <si>
    <t>งานบำบัด
น้ำเสีย</t>
  </si>
  <si>
    <t>รายงานรายจ่ายในการดำเนินงานที่จ่ายจากเงินรายรับตามแผนงาน  ...สร้างความเข้มแข็งของชุมชน...</t>
  </si>
  <si>
    <t>งานบริหารทั่วไป
เกี่ยวกับการสร้างความ
เข้มแข็งของชุมชม</t>
  </si>
  <si>
    <t>งานส่งเสริมและ
สนับสนุนความ
เข้มแข็งชุมชน</t>
  </si>
  <si>
    <t>รายงานรายจ่ายในการดำเนินงานที่จ่ายจากเงินรายรับตามแผนงาน  ...การศาสนาวัฒนธรรมและนันทนาการ...</t>
  </si>
  <si>
    <t>งานบริหารทั่วไป
เกี่ยวกับศาสนา
วัฒนธรรมและ
นันทนาการ</t>
  </si>
  <si>
    <t>งานกีฬาและ
นันทนาการ</t>
  </si>
  <si>
    <t>งานศาสนาและ
วัฒนธรรมท้องถิ่น</t>
  </si>
  <si>
    <t>งานวิชการวางแผน
และส่งเสริม
การท่องเที่ยว</t>
  </si>
  <si>
    <t>รายงานรายจ่ายในการดำเนินงานที่จ่ายจากเงินรายรับตามแผนงาน  ...อุตสาหกรรมและการโยธา...</t>
  </si>
  <si>
    <t>งานบริหารทั่วไป
เกี่ยวกับอุตสาหกรรรม
และการโยธา</t>
  </si>
  <si>
    <t>งานก่อสร้างโครงสร้าง
พื้นฐาน</t>
  </si>
  <si>
    <t>รายงานรายจ่ายในการดำเนินงานที่จ่ายจากเงินรายรับตามแผนงาน  ...การเกษตร...</t>
  </si>
  <si>
    <t>งานส่งเสริมการเกษตร</t>
  </si>
  <si>
    <t>งานอนุรักษ์แหล่งน้ำ
และป่าไม้</t>
  </si>
  <si>
    <t>รายงานรายจ่ายในการดำเนินงานที่จ่ายจากเงินรายรับตามแผนงาน  ...การพาณิชย์...</t>
  </si>
  <si>
    <t>งานกิจการประปา</t>
  </si>
  <si>
    <t>งานตลาดสด</t>
  </si>
  <si>
    <t>งานโรงฆ่าสัตว์</t>
  </si>
  <si>
    <t>รายงานรายจ่ายในการดำเนินงานที่จ่ายจากเงินรายรับตามแผนงานรวม</t>
  </si>
  <si>
    <t>บริหาร
งาน
ทั่วไป</t>
  </si>
  <si>
    <t>การรักษา
ความ
สงบภายใน</t>
  </si>
  <si>
    <t>การศึกษา</t>
  </si>
  <si>
    <t>สังคม
สงเคราะห์</t>
  </si>
  <si>
    <t>เคหะและ
ชุมชน</t>
  </si>
  <si>
    <t>สร้าง
ความ
เข้มแข็ง
ของชุมชน</t>
  </si>
  <si>
    <t>การ
ศาสนา
วัฒนธรรม
และ
นันทนาการ</t>
  </si>
  <si>
    <t>อุตสาหกรรม
และการโยธา</t>
  </si>
  <si>
    <t>การเกษตร
การ</t>
  </si>
  <si>
    <t>การ
พาณิชย์</t>
  </si>
  <si>
    <t>สาธารณสุข
สังคม</t>
  </si>
  <si>
    <t>รายงานรายจ่ายในการดำเนินงานที่จ่ายจากเงินสะสม</t>
  </si>
  <si>
    <t>รายงานรายจ่ายในการดำเนินงานที่จ่ายจากเงินทุนสำรองเงินสะสม</t>
  </si>
  <si>
    <t>รายงานรายจ่ายในการดำเนินงานที่จ่ายจากเงินกู้</t>
  </si>
  <si>
    <t>ค่าครุภัณฑ์   (หมายเหตุ  1)</t>
  </si>
  <si>
    <t>ค่าที่ดินและสิ่งก่อสร้าง  (หมายเหตุ 2 )</t>
  </si>
  <si>
    <t>รวยรายจ่าย</t>
  </si>
  <si>
    <t>รายรับสูงกว่าหรือ(ต่ำกว่า)รายจ่าย</t>
  </si>
  <si>
    <t>งบแสดงผลการดำเนินงานจ่ายจากเงินรายรับและเงินสะสม</t>
  </si>
  <si>
    <t>งบแสดงผลการดำเนินงานจ่ายจากเงินรายรับ เงินสะสม และเงินทุนสำรองเงินสะสม</t>
  </si>
  <si>
    <t>งบแสดงผลการดำเนินงานจ่ายจากเงินรายรับ เงินสะสม เงินทุนสำรองเงินสะสมและเงินกู้</t>
  </si>
  <si>
    <t>หมายเหตุ 2    งบทรัพย์สิน</t>
  </si>
  <si>
    <t>รายงานรายจ่ายในการดำเนินงานที่จ่ายจากเงินรายรับตามแผนงาน  ..งบกลาง..</t>
  </si>
  <si>
    <t xml:space="preserve">สาธารณสุข
</t>
  </si>
  <si>
    <t>เงินงบประมาณ</t>
  </si>
  <si>
    <t>ข้อมูลทั่วไป</t>
  </si>
  <si>
    <t>หมายเหตุ 1  สรุปนโยบายการบัญชีที่สำคัญ</t>
  </si>
  <si>
    <t>1.1  หลักเกณฑ์ในการจัดทำงบแสดงฐานะการเงิน</t>
  </si>
  <si>
    <t>โครงการที่ยืม</t>
  </si>
  <si>
    <t>สินทรัพย์ไม่หมุนเวียน</t>
  </si>
  <si>
    <t>ปี 2561</t>
  </si>
  <si>
    <t>ณ วันที่ 30 กันยายน 2561</t>
  </si>
  <si>
    <t>เงินฝากประทรวงการคลัง</t>
  </si>
  <si>
    <t>เงินฝากกองทุน</t>
  </si>
  <si>
    <t>ทรัพย์สินเกิดจากเงินกู้</t>
  </si>
  <si>
    <t>สินทรัพย์ไม่หมุนเวียนอื่น</t>
  </si>
  <si>
    <t>หมายเหตุประกอบงบแสดงฐานะการเงินเป็นส่วนหนึ่งของงบการเงินนี้</t>
  </si>
  <si>
    <t>การบันทึกบัญชีเพื่อจัดทำงบแสดงฐานะการเงินเป็นไปตามเกณฑ์เงินสดและเกณฑ์คงค้าง</t>
  </si>
  <si>
    <t>ตามประกาศกระทรวงมหาดไทย เรื่อง หลักเกณฑ์และวิธีปฏิบัติการบันทึกบัญชี การจัดทำทะเบียน และรายงาน</t>
  </si>
  <si>
    <t>การเงินขององค์กรปกครองส่วนท้องถิ่น  เมื่อวันที่  20  มีนาคม  2558  และที่แก้ไขเพิ่มเติม (ฉบับที่ 2) ลงวันที่</t>
  </si>
  <si>
    <t>21 มีนาคม 2561 และหนังสือสั่งการที่เกี่ยวข้อง</t>
  </si>
  <si>
    <t>1.2 รายการเปิดเผยอื่นใด (ถ้ามี)</t>
  </si>
  <si>
    <t>สำหรับปี  สิ้นสุดวันที่  30  กันยายน  2561</t>
  </si>
  <si>
    <t>เงินที่มีผู้อุทิศให้</t>
  </si>
  <si>
    <t>ฯลฯ</t>
  </si>
  <si>
    <t xml:space="preserve">    ที่ดิน</t>
  </si>
  <si>
    <t xml:space="preserve">    อาคาร</t>
  </si>
  <si>
    <t xml:space="preserve">     ครุภัณฑ์สำนักงาน</t>
  </si>
  <si>
    <t xml:space="preserve">     ครุภัณฑ์การศึกษา</t>
  </si>
  <si>
    <t xml:space="preserve">คำอธิบาย  </t>
  </si>
  <si>
    <t xml:space="preserve">     1. ทรัพย์สินที่ได้มาจากรายได้ เงินสะสม เงินทุนสำรองเงินสะสม เงินที่มีผู้อุทิศให้ และเงินอื่นใดยกเว้นเงินกู้ ให้แสดงทรัพย์สินที่เป็น</t>
  </si>
  <si>
    <t>กรรมสิทธิ์ขององค์กรปกครองส่วนท้องถิ่นและองค์กรปกครองส่วนท้องถิ่นใช้ประโยชน์โดยตรง รวมทั้งทรัพย์สินที่ให้ยืมหรือเช่า ยกเว้น</t>
  </si>
  <si>
    <t>ทรัพย์สินที่จัดไว้เพื่อเป็นการให้บริการสาธารณะ เช่น ถนน สะพาน ลานกีฬา เป็นต้น</t>
  </si>
  <si>
    <t xml:space="preserve">    2. ทรัพย์สินที่ได้มาจากแหล่งเงินกู้ ให้แสดงทรัพย์สินทุกประเภท</t>
  </si>
  <si>
    <t>สำหรับปี สิ้นสุดวันที่ 30 กันยายน 2561</t>
  </si>
  <si>
    <t>หมายเหตุ 4  เงินฝากกระทรวงการคลัง</t>
  </si>
  <si>
    <t>................................................</t>
  </si>
  <si>
    <t>...............................................</t>
  </si>
  <si>
    <t>หมายเหตุ 5  เงินฝากกองทุน</t>
  </si>
  <si>
    <t>หมายเหตุ 6  ลูกหนี้เงินยืม</t>
  </si>
  <si>
    <t>ชื่อ - สกุล ผู้ยืม</t>
  </si>
  <si>
    <t>นาย................</t>
  </si>
  <si>
    <t>เดินทางไปราชการ</t>
  </si>
  <si>
    <t>นาง...................</t>
  </si>
  <si>
    <t>เงินอุดหนุนระบุวัตถุประสงค์/
เฉพาะกิจ</t>
  </si>
  <si>
    <t>สวัสดิการข้าราชการถ่ายโอน</t>
  </si>
  <si>
    <t>โครงการ............</t>
  </si>
  <si>
    <t>ปี 2560</t>
  </si>
  <si>
    <t>หมายเหตุ 7  รายได้จากรัฐบาลค้างรับ</t>
  </si>
  <si>
    <t>หมายเหตุ 8  ลูกหนี้ค่าภาษี</t>
  </si>
  <si>
    <t xml:space="preserve">หมายเหตุ 9 ลูกหนี้รายได้อื่น ๆ </t>
  </si>
  <si>
    <t>ลูกหนี้ค่าน้ำประปา</t>
  </si>
  <si>
    <t>ลูกหนี้ค่าเช่า</t>
  </si>
  <si>
    <t>หมายเหตุ 10 ลูกหนี้เงินทุนโครงการเศรษฐกิจชุมชน</t>
  </si>
  <si>
    <t xml:space="preserve">หมายเหตุ 11 ลูกหนี้อี่น ๆ </t>
  </si>
  <si>
    <t>ลูกหนี้ค่า.........</t>
  </si>
  <si>
    <t>เงินจ่ายล่วงหน้า</t>
  </si>
  <si>
    <t>หมายเหตุ 14 สินทรัพย์ไม่หมุนเวียนอื่น</t>
  </si>
  <si>
    <t>เงินขาดบัญชี</t>
  </si>
  <si>
    <t>เงินประกัน</t>
  </si>
  <si>
    <t>หมายเหตุ 15  รายจ่ายค้างจ่าย</t>
  </si>
  <si>
    <t>หมายเหตุ 16  ฎีกาค้างจ่าย</t>
  </si>
  <si>
    <t>หมายเหตุ 17  เงินรับฝาก</t>
  </si>
  <si>
    <t>หมายเหตุ 18 หนี้สินหมุนเวียนอื่น</t>
  </si>
  <si>
    <t>..................................</t>
  </si>
  <si>
    <t>...................................</t>
  </si>
  <si>
    <t>หมายเหตุ 19  เจ้าหนี้เงินกู้</t>
  </si>
  <si>
    <t>ชื่อเจ้าหนี้</t>
  </si>
  <si>
    <t>โครงการที่ขอกู้</t>
  </si>
  <si>
    <t>จำนวนเงินที่ขอกู้</t>
  </si>
  <si>
    <t>สัญญาเงินกู้</t>
  </si>
  <si>
    <t>เลขที่</t>
  </si>
  <si>
    <t>ลงวันที่</t>
  </si>
  <si>
    <t>เงินต้นค้างชำระ</t>
  </si>
  <si>
    <t>ปีสิ้นสุดสัญญา</t>
  </si>
  <si>
    <t>หมายเหตุ 20 หนี้สินไม่หมุนเวียน</t>
  </si>
  <si>
    <t>...........................</t>
  </si>
  <si>
    <t>..........................</t>
  </si>
  <si>
    <t xml:space="preserve">       (เงินทุนสำรองเงินสะสม)</t>
  </si>
  <si>
    <t>2. เงินฝากกองทุน</t>
  </si>
  <si>
    <t>1. หุ้นในโรงพิมพ์อาสารักษาดินแดน</t>
  </si>
  <si>
    <t>3. ลูกหนี้ค่าภาษี</t>
  </si>
  <si>
    <t xml:space="preserve">5. ทรัพย์สินที่เกิดจากเงินกู้ที่ชำระหนี้แล้ว  </t>
  </si>
  <si>
    <t xml:space="preserve"> (ผลต่างระหว่างทรัพย์สินเกิดจากเงินกู้และเจ้าหนี้เงินกู้)</t>
  </si>
  <si>
    <t>ทั้งนี้ได้รับอนุมัติให้จ่ายเงินสะสมที่อยู่ระหว่างดำเนินการจำนวน</t>
  </si>
  <si>
    <t>และจะเบิกจ่ายในปีงบประมาณต่อไป  ตามรายละเอียดแนบท้ายหมายเหตุ 21</t>
  </si>
  <si>
    <t>หมายเหตุ 21  เงินสะสม</t>
  </si>
  <si>
    <t>รายละเอียดแนบท้ายหมายเหตุ 21 เงินสะสม</t>
  </si>
  <si>
    <t>หมายเหตุ 22 เงินทุนสำรองเงินสะสม</t>
  </si>
  <si>
    <t>รวมจ่ายจากเงิน
งบประมาณ</t>
  </si>
  <si>
    <t>รวมจ่ายจากเงิน
อุดหนุนระบุวัตถุ
ประสงค์/เฉพาะกิจ</t>
  </si>
  <si>
    <t>รายได้จากสาธารณูปโภคและการพาณิชย์</t>
  </si>
  <si>
    <t>ภาษีจัดสรร</t>
  </si>
  <si>
    <t>เงินอุดหนุนทั่วไป</t>
  </si>
  <si>
    <t>งินอุดหนุนระบุวัตถุประสงค์/เฉพาะกิจ</t>
  </si>
  <si>
    <t>หมายเหตุ  ในกรณีมีใบผ่านรายการบัญฃีทั่วไปที่ปรับปรุงลดยอดรายจ่าย ให้เพิ่มฃ่อง "ใบผ่านรายการบัญชีทั่วไป" หลังฃ่อง "รวมจ่ายจากเงินงบประมาณ" เพื่อแสดงผลการดำเนินงานที่ถูกต้อง</t>
  </si>
  <si>
    <t>แหล่งงบประมาณ</t>
  </si>
  <si>
    <t>หมายเหตุ  1  ค่าครุภัณฑ์</t>
  </si>
  <si>
    <t>ครุภัณฑ์สำนักงาน</t>
  </si>
  <si>
    <t>ครุภัณฑ์การศึกษา</t>
  </si>
  <si>
    <t>ครุภัณฑ์ไฟฟ้าและวิทยุ</t>
  </si>
  <si>
    <t>ครุภัณฑ์คอมพิวเตอร์</t>
  </si>
  <si>
    <t>หน่วย : บาท</t>
  </si>
  <si>
    <t>หมายเหตุ  2  ค่าที่ดินและสิ่งก่อสร้าง</t>
  </si>
  <si>
    <t>ตั้งแต่วันที่  1  ตุลาคม 2560  ถึง  30 กันยายน 2561</t>
  </si>
  <si>
    <t>หมายเหตุ 12 ลูกหนี้เงินยืมเงินสะสม</t>
  </si>
  <si>
    <t>หมายเหตุ 13 สินทรัพยหมุนเวียนอื่น</t>
  </si>
  <si>
    <t>ทั้งนี้ องค์กรปกครองส่วนท้องถิ่นมียอดเงินที่ได้รับอนุมัติให้กู้เงินหรือทำสัญญากู้เงินแล้วอยู่ระหว่างการรับเงิน จำนวน.....................บาท</t>
  </si>
  <si>
    <t>เงินเดือน (ฝ่ายการเมือง)</t>
  </si>
  <si>
    <t>เงินเดือน (ฝ่ายประจำ)</t>
  </si>
  <si>
    <t>งบดำเนินงาน</t>
  </si>
  <si>
    <t>ประกอบหมายเหตุประกอบงบแสดงฐานะการเงิน (หมายเหตุ 8)</t>
  </si>
  <si>
    <t>ลำดับที่</t>
  </si>
  <si>
    <t>ชื่อ - สกุล</t>
  </si>
  <si>
    <t xml:space="preserve">หมู่ที่ </t>
  </si>
  <si>
    <t>ปีภาษีทีค้างชำระ/จำนวนเงิน</t>
  </si>
  <si>
    <t xml:space="preserve">รายละเอียดลูกหนี้ภาษีบำรุงท้องที่ประจำปีงบประมาณ 2561  </t>
  </si>
  <si>
    <t xml:space="preserve">รายละเอียดลูกหนี้ภาษีโรงเรือนและที่ดินประจำปีงบประมาณ 2561  </t>
  </si>
  <si>
    <t xml:space="preserve">รายละเอียดลูกหนี้ภาษีป้ายประจำปีงบประมาณ 2561  </t>
  </si>
  <si>
    <t>รายละเอียดรายการทรัพย์สิน ประกอบงบทรัพย์สิน (หมายเหตุ 2)</t>
  </si>
  <si>
    <t>ลำดับ</t>
  </si>
  <si>
    <t>รหัสทรัพย์สิน</t>
  </si>
  <si>
    <t>ชื่อทรัพย์สิน</t>
  </si>
  <si>
    <t>รายละเอียดทรัพย์สิน</t>
  </si>
  <si>
    <t>วิธีการได้มา</t>
  </si>
  <si>
    <t>งานที่รับผิดชอบ</t>
  </si>
  <si>
    <t>ชนิดทรัพย์สิน</t>
  </si>
  <si>
    <t>รวมครุภัณฑ์สำนักงาน</t>
  </si>
  <si>
    <t>สังหาริมทรัพย์</t>
  </si>
  <si>
    <t>บริหารทั่วไป</t>
  </si>
  <si>
    <t>ซื้อ</t>
  </si>
  <si>
    <t>ว/ด/ป ที่ได้มา</t>
  </si>
  <si>
    <t>องค์การบริหารส่วนตำบลโพนทอง</t>
  </si>
  <si>
    <t>งบทดลอง   (ก่อนปิดบัญชี)</t>
  </si>
  <si>
    <t>รหัสบัญชี</t>
  </si>
  <si>
    <t>เดบิต</t>
  </si>
  <si>
    <t>เครดิต</t>
  </si>
  <si>
    <t>เงินฝากธนาคาร (ออมทรัพย์) ธกส. 01-168-2-52842-6</t>
  </si>
  <si>
    <t>เงินฝากธนาคาร ธกส. (ออมทรัพย์) 01- 168-2-38113-5</t>
  </si>
  <si>
    <t>เงินฝากธนาคาร กรุงไทย. (ออมทรัพย์) 302-0-48311-5</t>
  </si>
  <si>
    <t>เงินฝากธนาคาร ออมสิน (เผื่อเรียก)  02-0-08504-727-0</t>
  </si>
  <si>
    <t>เงินฝากธนาคาร กรุงไทย (กระแสรายวัน)  302-6-03187-9</t>
  </si>
  <si>
    <t>เงินฝากธนาคาร  ธกส. (กระแสรายวัน)  168-5-00059-2</t>
  </si>
  <si>
    <t>เงินฝากธนาคาร ธกส. (ประจำ) 30- 168-4-01286-1</t>
  </si>
  <si>
    <t>เงินฝากธนาคาร กรุงไทย (ประจำ)  302-2-11559-8</t>
  </si>
  <si>
    <t>เงินฝากธนาคาร ออมสิน (ประจำ)  36-245-0-00145-2</t>
  </si>
  <si>
    <t>ลูกหนี้ - ภาษีโรงเรือนและที่ดิน</t>
  </si>
  <si>
    <t>ลูกหนี้ - ภาษีบำรุงท้องที่</t>
  </si>
  <si>
    <t>ลูกหนี้ - ภาษีป้าย</t>
  </si>
  <si>
    <t>ลูกหนี้ - เงินทุนโครงการเศรษฐกิจชุมชน (ลูกหนี้อื่น ๆ )</t>
  </si>
  <si>
    <t>ลูกหนี้ - เงินยืมงบประมาณ</t>
  </si>
  <si>
    <t>ลูกหนี้เงินสะสม</t>
  </si>
  <si>
    <t>ลูกหนี้ - เงินยืมเงินอุดหนุนทั่วไประบุวัตถุประสงค์ (ลูกหนี้อื่นฯ)</t>
  </si>
  <si>
    <t>หนี้สูญ</t>
  </si>
  <si>
    <t>เงินรายรับ</t>
  </si>
  <si>
    <t>รายจ่ายค้างจ่าย  (หมายเหตุ 1)</t>
  </si>
  <si>
    <t>รายจ่ายรอจ่าย  (หมายเหตุ 2)</t>
  </si>
  <si>
    <t>รายจ่ายค้างจ่ายระหว่างดำเนินการ (หมายเหตุ 3)</t>
  </si>
  <si>
    <t xml:space="preserve">เงินรับฝาก (หมายเหตุ 4) </t>
  </si>
  <si>
    <t xml:space="preserve">เงินรับฝากเงินรอคืนจังหวัด (หมายเหตุ 5) </t>
  </si>
  <si>
    <t>รายจ่ายผลัดส่งใบสำคัญ</t>
  </si>
  <si>
    <t>เจ้าหนี้</t>
  </si>
  <si>
    <t>เจ้าหนี้เงินสะสม</t>
  </si>
  <si>
    <t xml:space="preserve"> -2-</t>
  </si>
  <si>
    <t xml:space="preserve">ค่าสาธารณูปโภค </t>
  </si>
  <si>
    <t xml:space="preserve">ค่าครุภัณฑ์ </t>
  </si>
  <si>
    <t xml:space="preserve">ค่าที่ดินและสิ่งก่อสร้าง </t>
  </si>
  <si>
    <t>(นางสุเนตร  ประยูรสิงห์)</t>
  </si>
  <si>
    <t>(นางสุกัญญา  บัวสำราญ)</t>
  </si>
  <si>
    <t>ผู้อำนวยการกองคลัง</t>
  </si>
  <si>
    <t xml:space="preserve"> ปลัดองค์การบริหารส่วนตำบลโพนทอง</t>
  </si>
  <si>
    <t>(นายหมาก  สมนอก)</t>
  </si>
  <si>
    <t>นายกองค์การบริหารส่วนตำบลโพนทอง</t>
  </si>
  <si>
    <t>งบทดลอง   (หลังปิดบัญชี)</t>
  </si>
  <si>
    <t>ณ   วันที่  30   เดือน   กันยายน   พ.ศ  2561</t>
  </si>
  <si>
    <r>
      <rPr>
        <b/>
        <u val="single"/>
        <sz val="16"/>
        <rFont val="TH SarabunPSK"/>
        <family val="2"/>
      </rPr>
      <t>รายจ่ายค้างจ่าย - ปี 2560</t>
    </r>
    <r>
      <rPr>
        <b/>
        <sz val="16"/>
        <rFont val="TH SarabunPSK"/>
        <family val="2"/>
      </rPr>
      <t xml:space="preserve"> (หมายเหตุ 1)</t>
    </r>
  </si>
  <si>
    <r>
      <rPr>
        <b/>
        <u val="single"/>
        <sz val="16"/>
        <rFont val="TH SarabunPSK"/>
        <family val="2"/>
      </rPr>
      <t>รายจ่ายรอจ่าย</t>
    </r>
    <r>
      <rPr>
        <b/>
        <sz val="16"/>
        <rFont val="TH SarabunPSK"/>
        <family val="2"/>
      </rPr>
      <t xml:space="preserve"> (หมายเหตุ 2)</t>
    </r>
  </si>
  <si>
    <r>
      <rPr>
        <b/>
        <u val="single"/>
        <sz val="16"/>
        <rFont val="TH SarabunPSK"/>
        <family val="2"/>
      </rPr>
      <t xml:space="preserve">รายจ่ายค้างจ่ายระหว่างดำเนินการ  </t>
    </r>
    <r>
      <rPr>
        <b/>
        <sz val="16"/>
        <rFont val="TH SarabunPSK"/>
        <family val="2"/>
      </rPr>
      <t xml:space="preserve"> (หมายเหตุ 3)</t>
    </r>
  </si>
  <si>
    <t>ค่าตอบแทนผู้ปฏิบัติราชการอันเป็นประโยชน์แก่ อปท.</t>
  </si>
  <si>
    <r>
      <rPr>
        <b/>
        <u val="single"/>
        <sz val="16"/>
        <rFont val="TH SarabunPSK"/>
        <family val="2"/>
      </rPr>
      <t>บัญชีเงินรับฝาก</t>
    </r>
    <r>
      <rPr>
        <b/>
        <sz val="16"/>
        <rFont val="TH SarabunPSK"/>
        <family val="2"/>
      </rPr>
      <t xml:space="preserve"> (หมายเหตุ 4)</t>
    </r>
  </si>
  <si>
    <t>หมวดที่จ่าย</t>
  </si>
  <si>
    <t>เงินมัดจำประกันสัญญา</t>
  </si>
  <si>
    <t>ส่วนลด ภทบ. 6%</t>
  </si>
  <si>
    <t>ภาษี หัก ณ ที่จ่าย</t>
  </si>
  <si>
    <t>เงินสมทบกองทุนประกันสังคม</t>
  </si>
  <si>
    <t>เงินตามโครงการเศรษฐกิจชุมชน</t>
  </si>
  <si>
    <t>ดอกผลเศรษฐกิจชุมชน</t>
  </si>
  <si>
    <t>ค่ารักษาพยาบาล (สปสช.)</t>
  </si>
  <si>
    <t>ค่าปรับสภาพแวดล้อมที่อยู่อาศัยผู้พิการและผู้สูงอายุ</t>
  </si>
  <si>
    <t>เงินอุดหนุนทั่วไประบุวัตถุประสงค์ - ค่าใช้จ่ายฝึกอบรมผู้ผ่านการบำบัดฟื้นฟูยาเสพติด</t>
  </si>
  <si>
    <t>ค่าปรับการผิดสัญญา (หักจากเงินอุดหนุนทั่วไประบุวัตถุประสงค์)</t>
  </si>
  <si>
    <t>รวมเงินรับฝาก</t>
  </si>
  <si>
    <r>
      <rPr>
        <b/>
        <u val="single"/>
        <sz val="16"/>
        <rFont val="TH SarabunPSK"/>
        <family val="2"/>
      </rPr>
      <t xml:space="preserve">บัญชีเงินรับฝากเงินรอคืนจังหวัด </t>
    </r>
    <r>
      <rPr>
        <b/>
        <sz val="16"/>
        <rFont val="TH SarabunPSK"/>
        <family val="2"/>
      </rPr>
      <t xml:space="preserve"> (หมายเหตุ 5)</t>
    </r>
  </si>
  <si>
    <t>เงินอุดหนุนทั่วไประบุวัตถุประสงค์ - เบี้ยยังชีพผู้สูงอายุ</t>
  </si>
  <si>
    <t>เงินอุดหนุนทั่วไประบุวัตถุประสงค์ - เบี้ยยังชีพผู้พิการ</t>
  </si>
  <si>
    <t>เงินอุดหนุนทั่วไประบุวัตถุประสงค์ - เงินเดือนครู ผดด.</t>
  </si>
  <si>
    <t>เงินอุดหนุนทั่วไประบุวัตถุประสงค์ - ค่าตอบแทน ผดด.</t>
  </si>
  <si>
    <t>เงินอุดหนุนทั่วไประบุวัตถุประสงค์ - เงินเพิ่มค่าครองชีพ ผดด.</t>
  </si>
  <si>
    <t>เงินอุดหนุนทั่วไประบุวัตถุประสงค์ - ประกันสังคม ผดด.</t>
  </si>
  <si>
    <t>เงินอุดหนุนทั่วไประบุวัตถุประสงค์ - ค่าจัดการเรียนการสอน</t>
  </si>
  <si>
    <t>เงินอุดหนุนทั่วไประบุวัตถุประสงค์ - เงินช่วยเหลือการศึกษาบุตร</t>
  </si>
  <si>
    <t>ปลัดองค์การบริหารส่วนตำบล</t>
  </si>
  <si>
    <t>องค์การบริหารส่วนตำบลโพนทอง อำเภอสีดา  จังหวัดนครราชสีมา</t>
  </si>
  <si>
    <t>รายรับจริง</t>
  </si>
  <si>
    <t>+</t>
  </si>
  <si>
    <t>สูง</t>
  </si>
  <si>
    <t>-</t>
  </si>
  <si>
    <t>ต่ำ</t>
  </si>
  <si>
    <t>รายรับตามประมาณการ</t>
  </si>
  <si>
    <t xml:space="preserve">           ภาษีอากร</t>
  </si>
  <si>
    <t xml:space="preserve">           ค่าธรรมเนียมค่าปรับและใบอนุญาต</t>
  </si>
  <si>
    <t xml:space="preserve">           รายได้จากทรัพย์สิน</t>
  </si>
  <si>
    <t xml:space="preserve"> -</t>
  </si>
  <si>
    <t xml:space="preserve">           รายได้จากสาธารณูปโภค</t>
  </si>
  <si>
    <t xml:space="preserve">           รายได้เบ็ดเตล็ด</t>
  </si>
  <si>
    <t xml:space="preserve">           รายได้จากทุน</t>
  </si>
  <si>
    <t xml:space="preserve">           ภาษีจัดสรร</t>
  </si>
  <si>
    <t xml:space="preserve"> +</t>
  </si>
  <si>
    <t xml:space="preserve">           เงินอุดหนุนทั่วไป</t>
  </si>
  <si>
    <t>รวมเงินตามงบประมาณการรายรับทั้งสิ้น</t>
  </si>
  <si>
    <t xml:space="preserve">          เงินอุดหนุนที่รัฐบาลให้โดยระบุวัตถุประสงค์</t>
  </si>
  <si>
    <t>รวมเงินอุดหนุนที่รัฐบาลให้โดยระบุวัตถุประสงค์</t>
  </si>
  <si>
    <t xml:space="preserve">รวมรายรับทั้งสิ้น </t>
  </si>
  <si>
    <t>รายจ่ายจริง</t>
  </si>
  <si>
    <t>รายจ่ายตามประมาณการ</t>
  </si>
  <si>
    <t xml:space="preserve">          งบกลาง</t>
  </si>
  <si>
    <t xml:space="preserve">          เงินเดือน</t>
  </si>
  <si>
    <t xml:space="preserve">          ค่าตอบแทน</t>
  </si>
  <si>
    <t xml:space="preserve">          ค่าใช้สอย</t>
  </si>
  <si>
    <t xml:space="preserve">          ค่าวัสดุ</t>
  </si>
  <si>
    <t xml:space="preserve">          ค่าสาธารณูปโภค</t>
  </si>
  <si>
    <t xml:space="preserve">          เงินอุดหนุน</t>
  </si>
  <si>
    <t xml:space="preserve">          ค่าครุภัณฑ์</t>
  </si>
  <si>
    <t xml:space="preserve">          ค่าที่ดินและสิ่งก่อสร้าง</t>
  </si>
  <si>
    <t xml:space="preserve">          รายจ่ายอื่น</t>
  </si>
  <si>
    <t xml:space="preserve">         ค่าธรรมเนียมธนาคาร</t>
  </si>
  <si>
    <t>รวมรายจ่ายตามประมาณการรายจ่ายทั้งสิ้น</t>
  </si>
  <si>
    <t>รวมรายจ่ายทั้งสิ้น</t>
  </si>
  <si>
    <t>(สูงกว่า)</t>
  </si>
  <si>
    <t xml:space="preserve">                                                   รายรับ                     </t>
  </si>
  <si>
    <t>(ต่ำกว่า)</t>
  </si>
  <si>
    <t>บัญชีรายละเอียดรายรับ - รายจ่าย</t>
  </si>
  <si>
    <t>องค์การบริหารส่วนตำบลโพนทอง  อำเภอสีดา  จังหวัดนครราชสีมา</t>
  </si>
  <si>
    <t>รับจริง</t>
  </si>
  <si>
    <t>รายได้จัดเก็บเอง</t>
  </si>
  <si>
    <t>หมวดภาษีอากร</t>
  </si>
  <si>
    <t xml:space="preserve">       (1)  ภาษีโรงเรือนและที่ดิน</t>
  </si>
  <si>
    <t xml:space="preserve">       (2)  ภาษีบำรุงท้องที่</t>
  </si>
  <si>
    <t xml:space="preserve">       (3)  ภาษีป้าย</t>
  </si>
  <si>
    <t>หมวดค่าธรรมเนียม ค่าปรับ และใบอนุญาต</t>
  </si>
  <si>
    <t xml:space="preserve">       (1)  ค่าธรรมเนียมเกี่ยวกับใบอนุญาตการขายสุรา</t>
  </si>
  <si>
    <t xml:space="preserve">       (2)  ค่าธรรมเนียมเกี่ยวกับการควบคุมอาคาร</t>
  </si>
  <si>
    <r>
      <t xml:space="preserve">       (3)</t>
    </r>
    <r>
      <rPr>
        <sz val="15"/>
        <rFont val="TH SarabunPSK"/>
        <family val="2"/>
      </rPr>
      <t xml:space="preserve"> </t>
    </r>
    <r>
      <rPr>
        <sz val="14"/>
        <rFont val="TH SarabunPSK"/>
        <family val="2"/>
      </rPr>
      <t>ค่าธรรมเนียมเกี่ยวกับการควบคุมสถานที่จำหน่ายและสถานที่สะสมอาหาร</t>
    </r>
  </si>
  <si>
    <r>
      <t xml:space="preserve">       (4)  </t>
    </r>
    <r>
      <rPr>
        <sz val="14"/>
        <rFont val="TH SarabunPSK"/>
        <family val="2"/>
      </rPr>
      <t>ค่าธรรมเนียมจดทะเบียนพานิชย์</t>
    </r>
  </si>
  <si>
    <t>หมวดรายได้จากทรัพย์สิน</t>
  </si>
  <si>
    <t xml:space="preserve">      (1)  ค่าเช่าหรือค่าบริการสถานที่</t>
  </si>
  <si>
    <t xml:space="preserve">      (2)  ดอกเบี้ย</t>
  </si>
  <si>
    <t>หมวดรายได้เบ็ดเตล็ด</t>
  </si>
  <si>
    <t xml:space="preserve">     (1)  ค่าขายแบบแปลน</t>
  </si>
  <si>
    <t xml:space="preserve">     (2)  รายได้เบ็ดเตล็ดอื่น ๆ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</si>
  <si>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</si>
  <si>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</si>
  <si>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 xml:space="preserve">       (1) ภาษีและค่าธรรมเนียมรถยนต์และล้อเลื่อน</t>
  </si>
  <si>
    <t xml:space="preserve">       (2) ภาษีมูลค่าเพิ่ม ตาม พ.ร.บ.กำหนดแผน</t>
  </si>
  <si>
    <t xml:space="preserve">       (3) ภาษีมูลค่าเพิ่ม ตาม พ.ร.บ.จัดสรรรายได้ (1ใน9)</t>
  </si>
  <si>
    <t xml:space="preserve"> -3-</t>
  </si>
  <si>
    <t xml:space="preserve">       (4)  ภาษีธุรกิจเฉพาะ</t>
  </si>
  <si>
    <t xml:space="preserve">       (5)  ภาษีสุรา</t>
  </si>
  <si>
    <t xml:space="preserve">       (6) ภาษีสรรพสามิต</t>
  </si>
  <si>
    <t xml:space="preserve">       (7) ค่าภาคหลวงและค่าธรรมเนียมตามกฏหมายว่าด้วยป่าไม้</t>
  </si>
  <si>
    <t xml:space="preserve">       (8) ภาษีค่าภาคหลวงแร่</t>
  </si>
  <si>
    <t xml:space="preserve">       (9) ภาษีภาคหลวงปิโตเลียม</t>
  </si>
  <si>
    <t xml:space="preserve">       (10) ค่าธรรมเนียมจดทะเบียนสิทธิ์และนิติกรรมที่ดิน</t>
  </si>
  <si>
    <t>รวมรายรับ (ไม่รวมเงินอุดหนุนทั่วไป)</t>
  </si>
  <si>
    <t>รายได้ที่รัฐบาลอุดหนุนให้องค์กรปกครองส่วนท้องถิ่น</t>
  </si>
  <si>
    <t>หมวดเงินอุดหนุนทั่วไป</t>
  </si>
  <si>
    <t xml:space="preserve">      (1)  เงินอุดหนุนทั่วไปสำหรับ อปท.ที่มีการบริหารจัดการที่ดี</t>
  </si>
  <si>
    <t xml:space="preserve">      (2)  เงินอุดหนุนทั่วไปสำหรับดำเนินการตามอำนาจหน้าที่</t>
  </si>
  <si>
    <t xml:space="preserve">            และภารกิจถ่ายโอนเลือกทำ</t>
  </si>
  <si>
    <t>รวมรายรับ (รวมเงินอุดหนุนทั่วไป)</t>
  </si>
  <si>
    <t xml:space="preserve"> -4-</t>
  </si>
  <si>
    <t>รายได้ที่รัฐบาลอุดหนุนให้โดยระบุวัตถุประสงค์/เฉพาะกิจ</t>
  </si>
  <si>
    <t>หมวดเงินอุดหนุนระบุวัตถุประสงค์/เฉพาะกิจ</t>
  </si>
  <si>
    <t xml:space="preserve">      (1)  เงินอุดหนุนระบุวัตถุประสงค์/เฉพาะกิจจากกรมส่งเสริม</t>
  </si>
  <si>
    <t xml:space="preserve">            การปกครองท้องถิ่น</t>
  </si>
  <si>
    <t xml:space="preserve">      (2) เงินอุดหนุนระบุวัตถุประสงค์/เฉพาะกิจจากหน่วยงานอื่น</t>
  </si>
  <si>
    <t>รวมรายรับทั้งสิ้น</t>
  </si>
  <si>
    <t xml:space="preserve">ณ   วันที่  30   เดือน   กันยายน   พ.ศ  2561 </t>
  </si>
  <si>
    <t>หมายเหตุประกอบงบทดลอง  (หลังปิดบัญชี)  ณ  วันที่  30  เดือน  กันยายน  พ.ศ.  2561</t>
  </si>
  <si>
    <t>เงินอุดหนุนระบุวัตถุประสงค์/เฉพาะกิจจากกรมส่งเสริมฯ</t>
  </si>
  <si>
    <t>ค่าที่ดินและสิ่งก่อสร้าง  (เฉพาะกิจ)</t>
  </si>
  <si>
    <t>ค่าวัสดุ -หนังสือพิมพ์</t>
  </si>
  <si>
    <t>ค่าที่ดินและสิ่งก่อสร้าง - โครงการก่อสร้างรางระบายน้ำ  คสล.บ้านหนองหว้า  หมู่ที่  6</t>
  </si>
  <si>
    <t>ค่าที่ดินและสิ่งก่อสร้าง - ค่าจัดซื้อวัสดุสำหรับสร้างสนามเด็กเล่นสร้างปัญญา (เฉพาะกิจ)</t>
  </si>
  <si>
    <t xml:space="preserve"> เงินอุดหนุนทั่วไป - โครงการสัตว์ปลอดโรค (ขึ้นทะเบียนสัตว์)</t>
  </si>
  <si>
    <t xml:space="preserve">                                         ใบผ่านรายการบัญชีมาตรฐาน </t>
  </si>
  <si>
    <t>ฝ่าย...การเงินและบัญชี......................</t>
  </si>
  <si>
    <t xml:space="preserve">                                    รายการ</t>
  </si>
  <si>
    <t>ภาษีโรงเรือนและที่ดิน</t>
  </si>
  <si>
    <t>ภาษีบำรุงท้องที่</t>
  </si>
  <si>
    <t>ภาษีป้าย</t>
  </si>
  <si>
    <t>อากรการฆ่าสัตว์</t>
  </si>
  <si>
    <t>ค่าเช่าหรือค่าบริการสถานที่</t>
  </si>
  <si>
    <t>ดอกเบี้ยเงินฝากธนาคาร</t>
  </si>
  <si>
    <t>ค่าขายแบบแปลน</t>
  </si>
  <si>
    <t xml:space="preserve">รายได้เบ็ดเตล็ดอื่น ๆ </t>
  </si>
  <si>
    <t>ค่าธรรมเนียมเกี่ยวกับการควบคุมการจำหน่ายเนื้อสัตว์</t>
  </si>
  <si>
    <t>ค่าธรรมเนียมเกี่ยวกับใบอนุญาตการขายสุรา</t>
  </si>
  <si>
    <t>ค่าธรรมเนียมเกี่ยวกับการควบคุมอาคาร</t>
  </si>
  <si>
    <t>ค่าธรรมเนียมเกี่ยวกับการออกหนังสือรับรองการแจ้งสถานที่จำหน่ายอาหารหรือสะสมอาหาร</t>
  </si>
  <si>
    <t>ค่าธรรมเนียมจดทะเบียนพานิชย์</t>
  </si>
  <si>
    <t>ค่าธรรมเนียมกำจัดขยะมูลฝอย</t>
  </si>
  <si>
    <t>ค่าธรรมเนียมอื่น ๆ</t>
  </si>
  <si>
    <t>ค่าปรับการผิดสัญญา</t>
  </si>
  <si>
    <t>ค่าปรับอื่น ๆ</t>
  </si>
  <si>
    <t>ค่าธรรมเนียมเกี่ยวกับการกำจัดขยะมูลฝอยและสิงปฏิกูล</t>
  </si>
  <si>
    <t>ค่าธรรมเนียมการควบคุมกิจการที่เป็นอันตรายต่อสุขภาพ</t>
  </si>
  <si>
    <t>ใบอนุญาตจัดตั้งสถานที่จำหน่ายอาหารหรือสะสมอาหารในครัว  หรือพื้นที่ใด  ซึ่งมีพื้นที่ไม่เกิน  200  ตรม.</t>
  </si>
  <si>
    <t>ค่าใบอนุญาตจำหน่ายสินค้าในที่หรือทางสาธารณะ</t>
  </si>
  <si>
    <t>ค่าใบอนุญาตให้ตั้งตลาดเอกชน</t>
  </si>
  <si>
    <t>ค่าใบอนุญาตเกี่ยวกับการควบคุมอาคาร</t>
  </si>
  <si>
    <t>ค่าใบอนุญาตอื่น ๆ</t>
  </si>
  <si>
    <t>ภาษีและค่าธรรมเนียมรถยนต์หรือล้อเลื่อน</t>
  </si>
  <si>
    <t>ภาษีมูลค่าเพิ่มตาม พรบ.แผนฯ</t>
  </si>
  <si>
    <t>ภาษีมูลค่าเพิ่ม  1  ใน  9</t>
  </si>
  <si>
    <t>ภาษีธุรกิจเฉพาะ</t>
  </si>
  <si>
    <t>ภาษีสุรา</t>
  </si>
  <si>
    <t>ภาษีสรรพสามิต</t>
  </si>
  <si>
    <t>ภาษีการพนัน</t>
  </si>
  <si>
    <t>ค่าภาคหลวงและค่าธรรมเนียมป่าไม้</t>
  </si>
  <si>
    <t>ค่าภาคหลวงแร่</t>
  </si>
  <si>
    <t>ค่าภาคหลวงปิโตรเลียม</t>
  </si>
  <si>
    <t>ค่าธรรมเนียมการจดทะเบียนสิทธิและนิติกรรมที่ดิน</t>
  </si>
  <si>
    <t>เงินเดือน  (ฝ่ายการเมือง)</t>
  </si>
  <si>
    <t>เงินเดือน  (ฝ่ายประจำ)</t>
  </si>
  <si>
    <t>คำอธิบาย เพื่อบันทึก</t>
  </si>
  <si>
    <t>บันทึกปรับปรุงปิดบัญชีรายรับหักรายจ่ายเข้าบัญชีเงินทุนสำรองเงินสะสม  25 %  บันทึกเข้าเงินสะสม  75%</t>
  </si>
  <si>
    <t>ลงชื่อ.........................................ผู้จัดทำ</t>
  </si>
  <si>
    <t xml:space="preserve"> (นางสาวสมพาน  เสมาเพ็ชร)</t>
  </si>
  <si>
    <t>ลงชื่อ.........................................ผู้ตรวจสอบ</t>
  </si>
  <si>
    <t>งบรายรับ - รายจ่าย  ตามงบประมาณรายจ่ายประจำปี  2561</t>
  </si>
  <si>
    <t>ตั้งแต่วันที่  1  ตุลาคม  2560  ถึงวันที่  30  กันยายน  2561</t>
  </si>
  <si>
    <t>ประจำปีงบประมาณ  2561</t>
  </si>
  <si>
    <t xml:space="preserve">       (5)  ค่าธรรมเนียมอื่น ๆ</t>
  </si>
  <si>
    <t xml:space="preserve">       (6)  ค่าปรับการผิดสัญญา</t>
  </si>
  <si>
    <t xml:space="preserve">       (7) ค่าปรับอื่น ๆ </t>
  </si>
  <si>
    <r>
      <t xml:space="preserve">       (8)  </t>
    </r>
    <r>
      <rPr>
        <sz val="14"/>
        <rFont val="TH SarabunPSK"/>
        <family val="2"/>
      </rPr>
      <t>ค่าใบอนุญาตรับทำการกำจัดขยะมูลฝอยหรือสิ่งปฏิกูล</t>
    </r>
  </si>
  <si>
    <r>
      <t xml:space="preserve">       (9)  </t>
    </r>
    <r>
      <rPr>
        <sz val="14"/>
        <rFont val="TH SarabunPSK"/>
        <family val="2"/>
      </rPr>
      <t>ค่าใบอนุญาตประกอบการค้าสำหรับกิจการที่เป็นอันตรายต่อสุขภาพ</t>
    </r>
  </si>
  <si>
    <t xml:space="preserve">       (10)  ใบอนุญาตจัดตั้งสถานที่จำหน่ายอาหารหรือสะสมอาหารฯ ไม่เกิน 200 ตรม.</t>
  </si>
  <si>
    <t xml:space="preserve">       (11) ค่าใบอนุญาตจำหน่ายสินค้าในที่หรือทางสาธารณะ</t>
  </si>
  <si>
    <t xml:space="preserve">       (12) ค่าใบอนุญาตให้ตั้งตลาดเอกชน</t>
  </si>
  <si>
    <t xml:space="preserve">       (13)  ค่าใบอนุญาตเกี่ยวกับการควบคุมอาคาร</t>
  </si>
  <si>
    <t xml:space="preserve">       (14) ค่าใบอนุญาตอื่น ๆ</t>
  </si>
  <si>
    <t>วันที่  30  กันยายน  2561</t>
  </si>
  <si>
    <t xml:space="preserve">เงินอุดหนุนเฉพาะกิจ  </t>
  </si>
  <si>
    <t>ค่าที่ดินและสิ่งก่อสร้าง (เฉพาะกิจ)</t>
  </si>
  <si>
    <t>เงินฝากธนาคาร ออมสิน ประเภทเผื่อเรียก เลขที่.02-0-08504-727-0</t>
  </si>
  <si>
    <t>เงินฝากธนาคาร ออมสิน ประเภทประจำ เลขที่.36-245-0-00145-2</t>
  </si>
  <si>
    <t>เงินฝากธนาคาร กรุงไทย ประเภทออมทรัพย์ เลขที่ 302-0-48311-5</t>
  </si>
  <si>
    <t>เงินฝากธนาคาร กรุงไทย ประเภทประจำ เลขที่ 302-2-11559-8</t>
  </si>
  <si>
    <t>เงินฝากธนาคาร ธกส. ประเภทออมทรัพย์ เลขที่ 01-168-2-38113-5</t>
  </si>
  <si>
    <t>เงินฝากธนาคาร ธกส. ประเภทประจำ เลขที่ 30-168-4-01286-1</t>
  </si>
  <si>
    <t>เงินฝากธนาคาร ธกส. ประเภทออมทรัพย์ เลขที่  01-168-2-52842-6</t>
  </si>
  <si>
    <t>โครงการก่อสร้างสนามเด็กเล่นสร้างปัญญา</t>
  </si>
  <si>
    <t>เงินสำรองรายรับ</t>
  </si>
  <si>
    <t>เงินอุดหนุนเฉพาะกิจ</t>
  </si>
  <si>
    <t xml:space="preserve">     ครุภัณฑ์งานบ้านงานครัว</t>
  </si>
  <si>
    <t xml:space="preserve">     ครุภัณฑ์ไฟฟ้าและวิทยุ</t>
  </si>
  <si>
    <t xml:space="preserve">     ครุภัณฑ์งโฆษณาและเผยแพร่</t>
  </si>
  <si>
    <t xml:space="preserve">     ครุภัณฑ์งยานพาหนะและขนส่ง</t>
  </si>
  <si>
    <t xml:space="preserve">     ครุภัณฑ์การเกษตร</t>
  </si>
  <si>
    <t xml:space="preserve">     ครุภัณฑ์สำรวจ</t>
  </si>
  <si>
    <t xml:space="preserve">     ครุภัณฑ์คอมพิวเตอร์</t>
  </si>
  <si>
    <t xml:space="preserve">     ครุภัณฑ์งการแพทย์</t>
  </si>
  <si>
    <t xml:space="preserve">     ครุภัณฑ์ก่อสร้าง</t>
  </si>
  <si>
    <t xml:space="preserve">     ครุภัณฑ์ดนตรีและนาฎศิลป์</t>
  </si>
  <si>
    <t xml:space="preserve">     ครุภัณฑ์งเครื่องดับเพลิง</t>
  </si>
  <si>
    <t xml:space="preserve">     ครุภัณฑ์อื่น</t>
  </si>
  <si>
    <t>เงินอุดหนุนระบุวัตถุประสงค์  - เบี้ยยังชีพผู้พิการ</t>
  </si>
  <si>
    <t>เงินอุดหนุนระบุวัตถุประสงค์  - ค่าตอบแทน  ผดด.</t>
  </si>
  <si>
    <t>เงินอุดหนุนระบุวัตถุประสงค์  - ค่าครองชีพชั่วคราว  ผดด.</t>
  </si>
  <si>
    <t>ภาษีมูลค่าเพิ่มตามพรบ.กำหนดแผนฯ</t>
  </si>
  <si>
    <t>เงินอุดหนุนเฉพาะกิจ - โครงการก่อสร้างระบบประปา</t>
  </si>
  <si>
    <t>ผิวดินขนาดใหญ่  บ้านหนองพลวง  หมู่ที่  10</t>
  </si>
  <si>
    <t>เงินสะสม  1  ตุลาคม  2560</t>
  </si>
  <si>
    <t>กลุ่มโพนทองการเกษตรบ้านลิงส่อง  หมู่ที่  2</t>
  </si>
  <si>
    <t>กลุ่มเกษตรกรทำนาบ้านหนองพลวง  หมู่ที่  10</t>
  </si>
  <si>
    <t>กลุ่มเกษตรกรทำนาข้าว ม.8  บ้านใต้</t>
  </si>
  <si>
    <t>กลุ่มผลิตปุ๋ยอินทรีย์ชีวภาพ  ม.7</t>
  </si>
  <si>
    <t>กลุ่มเกษตรกรทำนาด้วยปุ๋ยอินทรีย์ชีวภาพตำบลโพนทอง  ม.7</t>
  </si>
  <si>
    <t>กลุ่มค้าขายบ้านโพนทอง  หมู่ที่  9</t>
  </si>
  <si>
    <t>กลุ่มขนมทองม้วนบ้านแท่น  หมู่ที่  7</t>
  </si>
  <si>
    <t>กลุ่มทอเสื่อบ้านมะค่า  หมู่ที่  4</t>
  </si>
  <si>
    <t>กลุ่มทอผ้ามัดหมี่บ้านหนองโน  หมู๋ที่  5</t>
  </si>
  <si>
    <t>กลุ่มทอผ้ามัดหมีบ้านหนองหว้า  หมู่ที่  6</t>
  </si>
  <si>
    <t>กลุ่มตีเหล็กบ้านโพนทอง  หมู่ที่  9</t>
  </si>
  <si>
    <t>กลุ่มเลี้ยงไก่ไข่  บ้านแท่น  หมู่ที่  7</t>
  </si>
  <si>
    <t>กลุ่มเลี้ยงกบในบ่อซีเมนต์บ้านแท่น  หมู่ที่  7</t>
  </si>
  <si>
    <t>กลุ่มเลี้ยงกบในบ่อซีเมนต์บ้านโพนทอง  หมู่ที่  9</t>
  </si>
  <si>
    <t>กลุ่มปลูกผักบ้านโพนทอง  หมู่ที่  9</t>
  </si>
  <si>
    <t>กลุ่มเกษตรกรทำนาบ้านโพนทอง  หมู่ที่  9</t>
  </si>
  <si>
    <t>กลุ่มปลูกเห็ดบ้านแท่น  หมู่ที่  7</t>
  </si>
  <si>
    <t>กลุ่มเลี้ยงหนูบ้านแท่น  หมู่ที่  7</t>
  </si>
  <si>
    <t>กลุ่มเกษตรกรทำนาบ้านโพนทอง ม.9</t>
  </si>
  <si>
    <t>งบประมาณ</t>
  </si>
  <si>
    <t>บริหารงานทั่วไป</t>
  </si>
  <si>
    <t>ค่าตอบแทนผู้ปฏิบัติ</t>
  </si>
  <si>
    <t>ราชการอันเป็นประโยชน์</t>
  </si>
  <si>
    <t>แก่ อปท.</t>
  </si>
  <si>
    <t>บริหารงานคลัง</t>
  </si>
  <si>
    <t>บริหารทั่วไปเกี่ยวกับการศึกษา</t>
  </si>
  <si>
    <t>เงินประโยชน์ตอบแทนอื่นเป็นกรณีพิเศษ</t>
  </si>
  <si>
    <t>สาธารณสุข</t>
  </si>
  <si>
    <t>บริหารทั่วไปเกี่ยวกับสาธารณสุข</t>
  </si>
  <si>
    <t>สังคมสงเคราะห์</t>
  </si>
  <si>
    <t>บริหารทั่วไปเกี่ยวกับสังคมสงเคราะห์</t>
  </si>
  <si>
    <t>เคหะและชุมชน</t>
  </si>
  <si>
    <t>บริหารทั่วไปเกี่ยวกับเคหะและชุมชน</t>
  </si>
  <si>
    <t>ค่าหนังสือพิมพ์</t>
  </si>
  <si>
    <t>ระดับก่อนวัยเรียนฯ</t>
  </si>
  <si>
    <t>ค่าอาหารเสริม (นม)  โรงเรียน</t>
  </si>
  <si>
    <t>ค่าจ้างองค์กรหรือสถาบันกลาง  ดำเนินการสำรวจความพึงพอใจผู้รับการประเมินที่ ก.อบต.กำหนด</t>
  </si>
  <si>
    <t>เงินเดือน</t>
  </si>
  <si>
    <t>เงินเดือนพนักงาน (ฝ่ายประจำ)</t>
  </si>
  <si>
    <t>เงินช่วยเหลือการศึกษาบุตร</t>
  </si>
  <si>
    <t>ไฟฟ้าถนน</t>
  </si>
  <si>
    <t>คสล.สายบ้านนางวิลัย ช่างเหล็ก - สะพานข้ามลำห้วยยาง  บ้านลิงส่อง  ม.2</t>
  </si>
  <si>
    <t>เสริมผิวถนนแอสฟัลติก  ทางเข้าหมู่บ้าน  บ้านใต้  ม.8</t>
  </si>
  <si>
    <t>คสล.จากบ้านนางปราณี -ถนน  คสล. บ้านหนองอ้ายแหนบ  หมู่ที่  10</t>
  </si>
  <si>
    <t>คสล.จากบ้านนายสนม  ทองขาว - ถนนมิตรภาพ  บ้านหนองพลวง หมู่ที่  10</t>
  </si>
  <si>
    <t>คสล.จากบ้านนางสุรพล รักษาภักดี - โรงสูบน้ำดิบ  บ้านหนองหว้า  หมู่ที่  6</t>
  </si>
  <si>
    <t>คสล.สายบ้านนางศุภาลัย - ถนนมิตรภาพ  (ต่อจาก คสล.เดิม)  หมู่ที่  7</t>
  </si>
  <si>
    <t>เงินอุดหนุนเฉพาะกิจ - โครงการก่อสร้างระบบประปาผิวดินขนาดใหญ่  บ้านหนองพลวง  หมู่ที่  10</t>
  </si>
  <si>
    <t>นอกงบประมาณ</t>
  </si>
  <si>
    <t>ค่าจัดซื้อวัสดุตามโครงการส่งเสริมการเรียนรู้เด็กปฐมวัย  ท้องถิ่นไทย  ผ่านการเล่น  ประจำปีงบประมาณ  2561 สนามเด็กเล่นสร้างปัญญา</t>
  </si>
  <si>
    <t>รางระบายน้ำ คสล.พร้อมฝาปิด จากบ้านนายเอ้ง  ว้นทะมาตย์ - บ้านนายสมคิด  บ้านหนองหว้า  หมู่ที่  6</t>
  </si>
  <si>
    <t>ส่วนลด ภทบ.6%</t>
  </si>
  <si>
    <t>ภาษีหัก  ณ  ที่จ่าย</t>
  </si>
  <si>
    <t>ค่าปรับสภาพแวดล้อมที่อยู่อาศัยผู้สูงอายุและผู้พิการ</t>
  </si>
  <si>
    <t>ค่าปรับการผิดสัญญา (หักจากเงินอุดหนุนระบุวัตถุประสงค์)</t>
  </si>
  <si>
    <t>เงินอุดหนุนทั่วไประบุวัตถุประสงค์ - ค่าใช้จ่ายในการฝึกอบรมผู้ผ่านการบำบัดฟื้นฟูยาเสพติด</t>
  </si>
  <si>
    <t>บัญชีเงินรับฝากรอคืนจังหวัด</t>
  </si>
  <si>
    <t>เงินอุดหนุนระบุวัตถุประสงค์ - เบี้ยยังชัพผู้สูงอายุ</t>
  </si>
  <si>
    <t>เงินอุดหนุนระบุวัตถุประสงค์ - เบี้ยยังชัพผู้พิการ</t>
  </si>
  <si>
    <t>เงินอุดหนุนระบุวัตถุประสงค์ - เงินเดือนครู</t>
  </si>
  <si>
    <t>เงินอุดหนุนระบุวัตถุประสงค์ - ค่าตอบแทน ผดด.</t>
  </si>
  <si>
    <t>เงินอุดหนุนระบุวัตถุประสงค์ - เงินเพิ่มค่าครองชีพ ผดด.</t>
  </si>
  <si>
    <t>เงินอุดหนุนระบุวัตถุประสงค์ - ประกันสังคม ผดด.</t>
  </si>
  <si>
    <t>เงินอุดหนุนระบุวัตถุประสงค์ - เงินช่วยเหลือการศึกษาบุตร</t>
  </si>
  <si>
    <t>ค่ารักษาพยาบาล  สปสช.</t>
  </si>
  <si>
    <t>เงินอุดหนุนทั่วไป -โครงการสัตว์ปลอดโรค (ขึ้นทะเบียนสัตว์)</t>
  </si>
  <si>
    <t>รายจ่ายค้างจ่าย - ค่าตอบแทนอื่นเป็นกรณีพิเศษ ปี 2560</t>
  </si>
  <si>
    <t>ดอกผลเศรษฐกิจชุมชน (ปรับปรุงดอกเบี้ย ปี  2558)</t>
  </si>
  <si>
    <t>เงินเหลือจ่ายค่าอาหารกลางวันโรงเรียน</t>
  </si>
  <si>
    <t>รายจ่ายค้างจ่าย - ค่าตอบแทนอื่นกรณีพิเศษ  ปี  2559</t>
  </si>
  <si>
    <t>เงินสะสม  ณ  30  กันยายน 2561  ประกอบด้วย</t>
  </si>
  <si>
    <t>ขยายถนนทางเข้าหมู่บ้าน  บ้านใต้  หมู่ที่  8</t>
  </si>
  <si>
    <t>ตำบลโพนทอง  อำเภอสีดา  จังหวัดนครราชสีมา</t>
  </si>
  <si>
    <t>ค่าก่อสร้างสิ่งสาธารณูปโภค</t>
  </si>
  <si>
    <t>เครื่องปรับอากาศ</t>
  </si>
  <si>
    <t>รายละเอียดประกอบงบแสดงผลการดำเนินงานจ่ายจากเงินงบประมาณ</t>
  </si>
  <si>
    <t>เครื่องคอมพิวเตอร์</t>
  </si>
  <si>
    <t>ครุภัณฑ์สำรวจ</t>
  </si>
  <si>
    <t>ครุภัณฑ์อื่น</t>
  </si>
  <si>
    <t>ล้อวัดระยะแบบดิจิตอล</t>
  </si>
  <si>
    <t>กระจกโค้งจราจร</t>
  </si>
  <si>
    <t>ก่อสร้างรั้วศูนย์พัฒนาเด็กเล็กบ้านมะค่า  หมู่ที่  4</t>
  </si>
  <si>
    <t>ก่อสร้างอ่างล้างหน้าศูนย์พัฒนาเด็กเล็กบ้านมะค่า  หมู่ที่  4</t>
  </si>
  <si>
    <t>โครงการก่อสร้างถนน คสล.สายบ้านนางวิลัย  ช่างเหล็ก - ลำห้วยยาง หมู่ที่ 2</t>
  </si>
  <si>
    <t>โครงการก่อสร้างถนน คสล.สายสระแดง -  แยกประปา  (วัดเก่า)  บ้านมะค่า หมู่ที่ 4</t>
  </si>
  <si>
    <t>โครงการก่อสร้างอาคารเอนกประสงค์บ้านหนองโน  หมู่ที่  5</t>
  </si>
  <si>
    <t>โครงการก่อสร้างรางระบายน้ำ คสล.พร้อมฝาปิดรางระบายน้ำ  บ้านหนองหว้า  หมุ่ที่  6</t>
  </si>
  <si>
    <t>โครงการเสริมผิวหินคลุกจากบ้านนายเฉลียว  ช่างปลูก  -  ศาลาประชาคม  หมู่ที่ 7</t>
  </si>
  <si>
    <t>โครงการเสริมผิวหินคลุกจากศาลปู่ตา - ถนนมิตรภาพ  บ้านแท่น  หมู่ที่  7</t>
  </si>
  <si>
    <t>โครงการก่อสร้างถนน คสล.จากสามแยกสะพานบ้านเตย - หน้าวัดพฤกษาศิลาอาสน์ หมู่ที่ 9</t>
  </si>
  <si>
    <t>โครงการก่อสร้างถนนดินจากศาลปู่ตา - ลำห้วยยาง  บ้านหนองพลวง  หมู่ที่ 10</t>
  </si>
  <si>
    <t>โครงการก่อสร้างถนนดินจากบ้านนายศิริชัย - ลำห้วยแยะ  บ้านใต้  หมู่ที่  8</t>
  </si>
  <si>
    <t>นายนิติชา  กล้าหาญ</t>
  </si>
  <si>
    <t>นายศุภสิทธิ์  ศิริศักดิ์</t>
  </si>
  <si>
    <t>นายสมพงษ์  ศิริศักดิ์</t>
  </si>
  <si>
    <t>นางอุไรวรรณ  กล้าหาญ</t>
  </si>
  <si>
    <t>นายวุ้น  ชำนิไกร</t>
  </si>
  <si>
    <t>นายถนอม  ดีใต้</t>
  </si>
  <si>
    <t>นายสิริ  พานิชย์</t>
  </si>
  <si>
    <t>นายวรากร  เขียนนอก</t>
  </si>
  <si>
    <t>นางอุไรรัตน์  ด่านลำมะจาก</t>
  </si>
  <si>
    <t>นางรุจิรา  นากุดนอก</t>
  </si>
  <si>
    <t>นางสั่น  เดชนอก</t>
  </si>
  <si>
    <t>นางแหวน  ศรีบุญเรือง</t>
  </si>
  <si>
    <t>นางเพ็ญพิชชา  จิตตรง</t>
  </si>
  <si>
    <t>นายสำลี  ณ  พิมาย</t>
  </si>
  <si>
    <t>นางสาวศิริพร  กล้าหาญ</t>
  </si>
  <si>
    <t>นางลำพวน  เถิงนอก</t>
  </si>
  <si>
    <t>นางกนกวรรณ  การชงัด</t>
  </si>
  <si>
    <t>นางสาวฉวีวรรณ  ประจงค์</t>
  </si>
  <si>
    <t>นางหนูอิ่ม  กรวยสวัสดิ์</t>
  </si>
  <si>
    <t>กลุ่มทอผ้ามัดหมี่บ้านหนองโน  หมู่ที่  5</t>
  </si>
  <si>
    <t>นายวนัส  กดสาพรมมา</t>
  </si>
  <si>
    <t>เงินสะสม  ณ  30  กันยายน  2561</t>
  </si>
  <si>
    <r>
      <t>หัก</t>
    </r>
    <r>
      <rPr>
        <b/>
        <sz val="14"/>
        <rFont val="TH SarabunPSK"/>
        <family val="2"/>
      </rPr>
      <t xml:space="preserve">    </t>
    </r>
    <r>
      <rPr>
        <sz val="14"/>
        <rFont val="TH SarabunPSK"/>
        <family val="2"/>
      </rPr>
      <t xml:space="preserve">25% ของรายรับจริงสูงกว่ารายจ่ายจริง </t>
    </r>
  </si>
  <si>
    <t>420-61-0015</t>
  </si>
  <si>
    <t>แบบแขวนขนาด 18,000 BTU</t>
  </si>
  <si>
    <t xml:space="preserve"> 9/4/2561</t>
  </si>
  <si>
    <t>420-61-0016</t>
  </si>
  <si>
    <t>461-61-0027</t>
  </si>
  <si>
    <t>คอมพิวเตอร์ตั้งโต๊ะ</t>
  </si>
  <si>
    <t xml:space="preserve"> 15/8/2561</t>
  </si>
  <si>
    <t>รวมครุภัณฑ์คอมพิวเตอร์</t>
  </si>
  <si>
    <t>088-61-0001</t>
  </si>
  <si>
    <t>ล้อวัดระยะ</t>
  </si>
  <si>
    <t>แบบดิจิตอล</t>
  </si>
  <si>
    <t xml:space="preserve"> 20/8/2561</t>
  </si>
  <si>
    <t>รวมครุภัณฑ์สำรวจ</t>
  </si>
  <si>
    <t>ครุภัณฑ์คมนาคม</t>
  </si>
  <si>
    <t>145-61-0001</t>
  </si>
  <si>
    <t>กระจกโค้ง</t>
  </si>
  <si>
    <t xml:space="preserve"> 9/7/2561</t>
  </si>
  <si>
    <t>และระงับอัคคีภัย</t>
  </si>
  <si>
    <t>ป้องกันภัยฝ่ายพลเรือน</t>
  </si>
  <si>
    <t>รวมครุภัณฑ์คมนาคม (อื่น)</t>
  </si>
  <si>
    <t>หมายเหตุประกอบงบทดลอง  (ก่อนปิดบัญชี)   ณ  วันที่  30  เดือน  กันยายน  พ.ศ.  2561</t>
  </si>
  <si>
    <t>เงินรายได้</t>
  </si>
  <si>
    <t>องค์การบริหารส่วนตำบลโพนทอง  อำเภอสีดา  จังหวัดนครราชสีมา  มีพื้นที่  20.07  ตารางกิโลเมตร</t>
  </si>
  <si>
    <t>มีประชากรทั้งหมด  3,312  คน  ประกอบด้วยชายจำนวน  1,659  คน  หญิง  1,653  คน</t>
  </si>
  <si>
    <t>เฉพาะกิจ</t>
  </si>
  <si>
    <t xml:space="preserve"> เงินอุดหนุนเฉพาะกิจ</t>
  </si>
  <si>
    <t>โครงการก่อสร้างประปาระบบผิวดินขนาดกลาง  บ้านหนองพลวง  หมู่ที่  10</t>
  </si>
  <si>
    <t>โครงการส่งเสริมการเรียนรู้เด็กปฐมวัย  ท้องถิ่นไทย  ผ่านการเล่น  ประจำปี  พ.ศ.2561</t>
  </si>
  <si>
    <t xml:space="preserve">          (นายหมาก  สมนอก)</t>
  </si>
  <si>
    <t xml:space="preserve">      (นางสุเนตร  ประยูรสิงห์)</t>
  </si>
  <si>
    <t xml:space="preserve">        ผู้อำนวยการกองคลัง</t>
  </si>
  <si>
    <t xml:space="preserve">   (นางสุกัญญา  บัวสำราญ)</t>
  </si>
  <si>
    <t xml:space="preserve"> ผู้อำนวยการกองคลัง</t>
  </si>
  <si>
    <t>.</t>
  </si>
  <si>
    <t>นากองค์การบริหารส่วนตำบลโพนทอง</t>
  </si>
  <si>
    <t xml:space="preserve">      ผู้อำนวยการกองคลัง                 ปลัดองค์การบริหารส่วนตำบล              นายกองค์การบริหารส่วนตำบลโพนทอง</t>
  </si>
  <si>
    <t xml:space="preserve">     (นางสุเนตร  ประยูรสิงห์)                 (นางสุกัญญา  บัวสำราญ)                             (นายหมาก  สมนอก)</t>
  </si>
  <si>
    <t xml:space="preserve">     (นางสุเนตร  ประยูรสิงห์)                                (นางสุกัญญา  บัวสำราญ)                              </t>
  </si>
  <si>
    <t xml:space="preserve">      ผู้อำนวยการกองคลัง                                ปลัดองค์การบริหารส่วนตำบล</t>
  </si>
  <si>
    <t>ค่าวัสดุสำนักงาน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</si>
</sst>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[$-1041E]#,##0.00;\(#,##0.00\);&quot;-&quot;"/>
    <numFmt numFmtId="202" formatCode="[$-1041E]#,##0.00;\-#,##0.00"/>
    <numFmt numFmtId="203" formatCode="."/>
  </numFmts>
  <fonts count="131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sz val="13"/>
      <name val="TH SarabunPSK"/>
      <family val="2"/>
    </font>
    <font>
      <sz val="18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6"/>
      <name val="Angsana New"/>
      <family val="1"/>
    </font>
    <font>
      <sz val="10"/>
      <name val="TH SarabunPSK"/>
      <family val="2"/>
    </font>
    <font>
      <b/>
      <sz val="14"/>
      <name val="TH SarabunPSK"/>
      <family val="2"/>
    </font>
    <font>
      <sz val="14"/>
      <name val="Arial"/>
      <family val="2"/>
    </font>
    <font>
      <b/>
      <u val="single"/>
      <sz val="14"/>
      <name val="TH SarabunPSK"/>
      <family val="2"/>
    </font>
    <font>
      <b/>
      <sz val="13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5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5"/>
      <color indexed="8"/>
      <name val="TH SarabunPSK"/>
      <family val="2"/>
    </font>
    <font>
      <b/>
      <u val="single"/>
      <sz val="15"/>
      <color indexed="8"/>
      <name val="TH SarabunPSK"/>
      <family val="2"/>
    </font>
    <font>
      <b/>
      <sz val="12"/>
      <color indexed="8"/>
      <name val="TH SarabunPSK"/>
      <family val="2"/>
    </font>
    <font>
      <sz val="12"/>
      <color indexed="8"/>
      <name val="TH SarabunPSK"/>
      <family val="2"/>
    </font>
    <font>
      <b/>
      <sz val="16"/>
      <color indexed="10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0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10"/>
      <name val="TH SarabunPSK"/>
      <family val="2"/>
    </font>
    <font>
      <b/>
      <sz val="18"/>
      <color indexed="8"/>
      <name val="TH SarabunPSK"/>
      <family val="2"/>
    </font>
    <font>
      <sz val="13"/>
      <color indexed="8"/>
      <name val="TH SarabunPSK"/>
      <family val="2"/>
    </font>
    <font>
      <sz val="15"/>
      <color indexed="10"/>
      <name val="TH SarabunPSK"/>
      <family val="2"/>
    </font>
    <font>
      <sz val="8"/>
      <color indexed="12"/>
      <name val="Microsoft Sans Serif"/>
      <family val="2"/>
    </font>
    <font>
      <sz val="18"/>
      <color indexed="10"/>
      <name val="TH SarabunPSK"/>
      <family val="2"/>
    </font>
    <font>
      <b/>
      <u val="single"/>
      <sz val="16"/>
      <color indexed="8"/>
      <name val="TH SarabunPSK"/>
      <family val="2"/>
    </font>
    <font>
      <sz val="16"/>
      <color indexed="8"/>
      <name val="Tahoma"/>
      <family val="2"/>
    </font>
    <font>
      <sz val="14"/>
      <color indexed="17"/>
      <name val="TH SarabunPSK"/>
      <family val="2"/>
    </font>
    <font>
      <b/>
      <sz val="14"/>
      <color indexed="13"/>
      <name val="TH SarabunPSK"/>
      <family val="2"/>
    </font>
    <font>
      <b/>
      <sz val="18"/>
      <color indexed="13"/>
      <name val="TH SarabunPSK"/>
      <family val="2"/>
    </font>
    <font>
      <b/>
      <sz val="16"/>
      <color indexed="13"/>
      <name val="TH SarabunPSK"/>
      <family val="2"/>
    </font>
    <font>
      <sz val="16"/>
      <color indexed="10"/>
      <name val="TH SarabunPSK"/>
      <family val="2"/>
    </font>
    <font>
      <b/>
      <sz val="15"/>
      <color indexed="10"/>
      <name val="TH SarabunPSK"/>
      <family val="2"/>
    </font>
    <font>
      <b/>
      <u val="single"/>
      <sz val="14"/>
      <color indexed="8"/>
      <name val="TH SarabunPSK"/>
      <family val="2"/>
    </font>
    <font>
      <sz val="8"/>
      <color indexed="8"/>
      <name val="TH SarabunPSK"/>
      <family val="2"/>
    </font>
    <font>
      <sz val="14"/>
      <color indexed="8"/>
      <name val="Tahoma"/>
      <family val="2"/>
    </font>
    <font>
      <sz val="13"/>
      <color indexed="8"/>
      <name val="Tahoma"/>
      <family val="2"/>
    </font>
    <font>
      <sz val="13"/>
      <color indexed="10"/>
      <name val="Tahoma"/>
      <family val="2"/>
    </font>
    <font>
      <sz val="13"/>
      <name val="Tahoma"/>
      <family val="2"/>
    </font>
    <font>
      <b/>
      <sz val="13"/>
      <color indexed="30"/>
      <name val="TH SarabunPSK"/>
      <family val="2"/>
    </font>
    <font>
      <b/>
      <sz val="13"/>
      <color indexed="13"/>
      <name val="TH SarabunPSK"/>
      <family val="2"/>
    </font>
    <font>
      <b/>
      <sz val="13"/>
      <color indexed="10"/>
      <name val="TH SarabunPSK"/>
      <family val="2"/>
    </font>
    <font>
      <b/>
      <sz val="13"/>
      <color indexed="8"/>
      <name val="TH SarabunPSK"/>
      <family val="2"/>
    </font>
    <font>
      <b/>
      <sz val="13"/>
      <color indexed="40"/>
      <name val="TH SarabunPSK"/>
      <family val="2"/>
    </font>
    <font>
      <b/>
      <sz val="14"/>
      <color indexed="10"/>
      <name val="TH SarabunPSK"/>
      <family val="2"/>
    </font>
    <font>
      <b/>
      <sz val="14"/>
      <color indexed="17"/>
      <name val="TH SarabunPSK"/>
      <family val="2"/>
    </font>
    <font>
      <sz val="12"/>
      <color indexed="10"/>
      <name val="TH SarabunPSK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5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5"/>
      <color theme="1"/>
      <name val="TH SarabunPSK"/>
      <family val="2"/>
    </font>
    <font>
      <b/>
      <u val="single"/>
      <sz val="15"/>
      <color theme="1"/>
      <name val="TH SarabunPSK"/>
      <family val="2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  <font>
      <b/>
      <sz val="16"/>
      <color rgb="FFFF0000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0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8"/>
      <color theme="1"/>
      <name val="TH SarabunPSK"/>
      <family val="2"/>
    </font>
    <font>
      <sz val="14"/>
      <color rgb="FF000000"/>
      <name val="TH SarabunPSK"/>
      <family val="2"/>
    </font>
    <font>
      <sz val="13"/>
      <color theme="1"/>
      <name val="TH SarabunPSK"/>
      <family val="2"/>
    </font>
    <font>
      <sz val="15"/>
      <color rgb="FFFF0000"/>
      <name val="TH SarabunPSK"/>
      <family val="2"/>
    </font>
    <font>
      <sz val="8"/>
      <color rgb="FF0000FF"/>
      <name val="Microsoft Sans Serif"/>
      <family val="2"/>
    </font>
    <font>
      <sz val="18"/>
      <color rgb="FFFF0000"/>
      <name val="TH SarabunPSK"/>
      <family val="2"/>
    </font>
    <font>
      <b/>
      <u val="single"/>
      <sz val="16"/>
      <color theme="1"/>
      <name val="TH SarabunPSK"/>
      <family val="2"/>
    </font>
    <font>
      <sz val="16"/>
      <color theme="1"/>
      <name val="Calibri"/>
      <family val="2"/>
    </font>
    <font>
      <sz val="14"/>
      <color rgb="FF00B050"/>
      <name val="TH SarabunPSK"/>
      <family val="2"/>
    </font>
    <font>
      <b/>
      <sz val="14"/>
      <color rgb="FF92D050"/>
      <name val="TH SarabunPSK"/>
      <family val="2"/>
    </font>
    <font>
      <b/>
      <sz val="18"/>
      <color rgb="FF92D050"/>
      <name val="TH SarabunPSK"/>
      <family val="2"/>
    </font>
    <font>
      <b/>
      <sz val="16"/>
      <color rgb="FF92D050"/>
      <name val="TH SarabunPSK"/>
      <family val="2"/>
    </font>
    <font>
      <sz val="16"/>
      <color rgb="FFFF0000"/>
      <name val="TH SarabunPSK"/>
      <family val="2"/>
    </font>
    <font>
      <b/>
      <sz val="15"/>
      <color rgb="FFFF0000"/>
      <name val="TH SarabunPSK"/>
      <family val="2"/>
    </font>
    <font>
      <b/>
      <u val="single"/>
      <sz val="14"/>
      <color theme="1"/>
      <name val="TH SarabunPSK"/>
      <family val="2"/>
    </font>
    <font>
      <sz val="8"/>
      <color theme="1"/>
      <name val="TH SarabunPSK"/>
      <family val="2"/>
    </font>
    <font>
      <sz val="14"/>
      <color theme="1"/>
      <name val="Calibri"/>
      <family val="2"/>
    </font>
    <font>
      <sz val="13"/>
      <color theme="1"/>
      <name val="Calibri"/>
      <family val="2"/>
    </font>
    <font>
      <sz val="13"/>
      <color rgb="FFFF0000"/>
      <name val="Calibri"/>
      <family val="2"/>
    </font>
    <font>
      <sz val="13"/>
      <name val="Calibri"/>
      <family val="2"/>
    </font>
    <font>
      <b/>
      <sz val="13"/>
      <color theme="4" tint="0.39998000860214233"/>
      <name val="TH SarabunPSK"/>
      <family val="2"/>
    </font>
    <font>
      <b/>
      <sz val="13"/>
      <color rgb="FF92D050"/>
      <name val="TH SarabunPSK"/>
      <family val="2"/>
    </font>
    <font>
      <b/>
      <sz val="13"/>
      <color rgb="FFFF0000"/>
      <name val="TH SarabunPSK"/>
      <family val="2"/>
    </font>
    <font>
      <b/>
      <sz val="13"/>
      <color theme="1"/>
      <name val="TH SarabunPSK"/>
      <family val="2"/>
    </font>
    <font>
      <b/>
      <sz val="13"/>
      <color rgb="FF00B0F0"/>
      <name val="TH SarabunPSK"/>
      <family val="2"/>
    </font>
    <font>
      <b/>
      <sz val="14"/>
      <color rgb="FFFF0000"/>
      <name val="TH SarabunPSK"/>
      <family val="2"/>
    </font>
    <font>
      <b/>
      <sz val="14"/>
      <color rgb="FF00B050"/>
      <name val="TH SarabunPSK"/>
      <family val="2"/>
    </font>
    <font>
      <sz val="12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thin"/>
      <right style="thin"/>
      <top style="thick"/>
      <bottom style="double"/>
    </border>
    <border>
      <left/>
      <right/>
      <top style="thin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/>
      <right/>
      <top style="thin"/>
      <bottom style="thin"/>
    </border>
    <border>
      <left style="medium">
        <color rgb="FFA9A9A9"/>
      </left>
      <right style="medium">
        <color rgb="FFA9A9A9"/>
      </right>
      <top style="medium">
        <color rgb="FFA9A9A9"/>
      </top>
      <bottom style="medium">
        <color rgb="FFA9A9A9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/>
    </border>
    <border>
      <left/>
      <right/>
      <top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/>
    </border>
    <border>
      <left/>
      <right style="thin"/>
      <top style="thin"/>
      <bottom style="double"/>
    </border>
    <border>
      <left/>
      <right/>
      <top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 style="thin"/>
      <right/>
      <top style="double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0" borderId="0">
      <alignment/>
      <protection/>
    </xf>
    <xf numFmtId="0" fontId="75" fillId="20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21" borderId="2" applyNumberFormat="0" applyAlignment="0" applyProtection="0"/>
    <xf numFmtId="0" fontId="80" fillId="0" borderId="3" applyNumberFormat="0" applyFill="0" applyAlignment="0" applyProtection="0"/>
    <xf numFmtId="0" fontId="81" fillId="22" borderId="0" applyNumberFormat="0" applyBorder="0" applyAlignment="0" applyProtection="0"/>
    <xf numFmtId="0" fontId="82" fillId="23" borderId="1" applyNumberFormat="0" applyAlignment="0" applyProtection="0"/>
    <xf numFmtId="0" fontId="83" fillId="24" borderId="0" applyNumberFormat="0" applyBorder="0" applyAlignment="0" applyProtection="0"/>
    <xf numFmtId="9" fontId="0" fillId="0" borderId="0" applyFont="0" applyFill="0" applyBorder="0" applyAlignment="0" applyProtection="0"/>
    <xf numFmtId="0" fontId="84" fillId="0" borderId="4" applyNumberFormat="0" applyFill="0" applyAlignment="0" applyProtection="0"/>
    <xf numFmtId="0" fontId="85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86" fillId="20" borderId="5" applyNumberFormat="0" applyAlignment="0" applyProtection="0"/>
    <xf numFmtId="0" fontId="0" fillId="32" borderId="6" applyNumberFormat="0" applyFont="0" applyAlignment="0" applyProtection="0"/>
    <xf numFmtId="0" fontId="87" fillId="0" borderId="7" applyNumberFormat="0" applyFill="0" applyAlignment="0" applyProtection="0"/>
    <xf numFmtId="0" fontId="88" fillId="0" borderId="8" applyNumberFormat="0" applyFill="0" applyAlignment="0" applyProtection="0"/>
    <xf numFmtId="0" fontId="89" fillId="0" borderId="9" applyNumberFormat="0" applyFill="0" applyAlignment="0" applyProtection="0"/>
    <xf numFmtId="0" fontId="89" fillId="0" borderId="0" applyNumberFormat="0" applyFill="0" applyBorder="0" applyAlignment="0" applyProtection="0"/>
  </cellStyleXfs>
  <cellXfs count="639">
    <xf numFmtId="0" fontId="0" fillId="0" borderId="0" xfId="0" applyFont="1" applyAlignment="1">
      <alignment/>
    </xf>
    <xf numFmtId="0" fontId="90" fillId="0" borderId="0" xfId="0" applyFont="1" applyAlignment="1">
      <alignment/>
    </xf>
    <xf numFmtId="0" fontId="2" fillId="0" borderId="0" xfId="0" applyFont="1" applyFill="1" applyBorder="1" applyAlignment="1" applyProtection="1">
      <alignment vertical="center"/>
      <protection/>
    </xf>
    <xf numFmtId="0" fontId="91" fillId="0" borderId="0" xfId="0" applyFont="1" applyAlignment="1">
      <alignment/>
    </xf>
    <xf numFmtId="0" fontId="92" fillId="0" borderId="0" xfId="0" applyFont="1" applyFill="1" applyBorder="1" applyAlignment="1">
      <alignment vertical="center"/>
    </xf>
    <xf numFmtId="0" fontId="91" fillId="0" borderId="0" xfId="0" applyFont="1" applyAlignment="1">
      <alignment horizontal="center"/>
    </xf>
    <xf numFmtId="0" fontId="92" fillId="0" borderId="0" xfId="0" applyFont="1" applyAlignment="1">
      <alignment/>
    </xf>
    <xf numFmtId="0" fontId="92" fillId="0" borderId="0" xfId="0" applyFont="1" applyAlignment="1">
      <alignment horizontal="center"/>
    </xf>
    <xf numFmtId="0" fontId="91" fillId="0" borderId="10" xfId="0" applyFont="1" applyBorder="1" applyAlignment="1">
      <alignment/>
    </xf>
    <xf numFmtId="0" fontId="91" fillId="0" borderId="11" xfId="0" applyFont="1" applyBorder="1" applyAlignment="1">
      <alignment/>
    </xf>
    <xf numFmtId="43" fontId="91" fillId="0" borderId="10" xfId="37" applyFont="1" applyBorder="1" applyAlignment="1">
      <alignment/>
    </xf>
    <xf numFmtId="43" fontId="91" fillId="0" borderId="11" xfId="37" applyFont="1" applyBorder="1" applyAlignment="1">
      <alignment/>
    </xf>
    <xf numFmtId="43" fontId="91" fillId="0" borderId="12" xfId="37" applyFont="1" applyBorder="1" applyAlignment="1">
      <alignment/>
    </xf>
    <xf numFmtId="0" fontId="92" fillId="0" borderId="10" xfId="0" applyFont="1" applyBorder="1" applyAlignment="1">
      <alignment horizontal="center" vertical="center"/>
    </xf>
    <xf numFmtId="0" fontId="92" fillId="0" borderId="13" xfId="0" applyFont="1" applyBorder="1" applyAlignment="1">
      <alignment horizontal="center" vertical="center" wrapText="1"/>
    </xf>
    <xf numFmtId="0" fontId="92" fillId="0" borderId="14" xfId="0" applyFont="1" applyBorder="1" applyAlignment="1">
      <alignment horizontal="center" vertical="center"/>
    </xf>
    <xf numFmtId="0" fontId="91" fillId="0" borderId="11" xfId="0" applyFont="1" applyBorder="1" applyAlignment="1">
      <alignment vertical="center"/>
    </xf>
    <xf numFmtId="0" fontId="92" fillId="0" borderId="15" xfId="0" applyFont="1" applyBorder="1" applyAlignment="1">
      <alignment horizontal="center" vertical="center" wrapText="1"/>
    </xf>
    <xf numFmtId="0" fontId="92" fillId="0" borderId="14" xfId="0" applyFont="1" applyBorder="1" applyAlignment="1">
      <alignment horizontal="center" vertical="center" wrapText="1"/>
    </xf>
    <xf numFmtId="0" fontId="92" fillId="0" borderId="10" xfId="0" applyFont="1" applyBorder="1" applyAlignment="1">
      <alignment horizontal="center" vertical="center" wrapText="1"/>
    </xf>
    <xf numFmtId="0" fontId="93" fillId="0" borderId="14" xfId="0" applyFont="1" applyBorder="1" applyAlignment="1">
      <alignment horizontal="center" vertical="center" wrapText="1"/>
    </xf>
    <xf numFmtId="0" fontId="93" fillId="0" borderId="14" xfId="0" applyFont="1" applyBorder="1" applyAlignment="1">
      <alignment horizontal="center" vertical="center"/>
    </xf>
    <xf numFmtId="0" fontId="93" fillId="0" borderId="15" xfId="0" applyFont="1" applyBorder="1" applyAlignment="1">
      <alignment horizontal="center" vertical="center" wrapText="1"/>
    </xf>
    <xf numFmtId="0" fontId="93" fillId="0" borderId="10" xfId="0" applyFont="1" applyBorder="1" applyAlignment="1">
      <alignment horizontal="center" vertical="center"/>
    </xf>
    <xf numFmtId="0" fontId="93" fillId="0" borderId="0" xfId="0" applyFont="1" applyAlignment="1">
      <alignment horizontal="center"/>
    </xf>
    <xf numFmtId="0" fontId="90" fillId="0" borderId="10" xfId="0" applyFont="1" applyBorder="1" applyAlignment="1">
      <alignment/>
    </xf>
    <xf numFmtId="0" fontId="90" fillId="0" borderId="11" xfId="0" applyFont="1" applyBorder="1" applyAlignment="1">
      <alignment/>
    </xf>
    <xf numFmtId="0" fontId="90" fillId="0" borderId="11" xfId="0" applyFont="1" applyBorder="1" applyAlignment="1">
      <alignment vertical="center"/>
    </xf>
    <xf numFmtId="0" fontId="93" fillId="0" borderId="0" xfId="0" applyFont="1" applyAlignment="1">
      <alignment/>
    </xf>
    <xf numFmtId="43" fontId="90" fillId="0" borderId="10" xfId="37" applyFont="1" applyBorder="1" applyAlignment="1">
      <alignment/>
    </xf>
    <xf numFmtId="43" fontId="90" fillId="0" borderId="11" xfId="37" applyFont="1" applyBorder="1" applyAlignment="1">
      <alignment/>
    </xf>
    <xf numFmtId="43" fontId="90" fillId="0" borderId="11" xfId="37" applyFont="1" applyBorder="1" applyAlignment="1">
      <alignment vertical="center"/>
    </xf>
    <xf numFmtId="43" fontId="90" fillId="0" borderId="16" xfId="37" applyFont="1" applyBorder="1" applyAlignment="1">
      <alignment/>
    </xf>
    <xf numFmtId="0" fontId="90" fillId="0" borderId="16" xfId="0" applyFont="1" applyBorder="1" applyAlignment="1">
      <alignment vertical="center"/>
    </xf>
    <xf numFmtId="43" fontId="90" fillId="0" borderId="16" xfId="37" applyFont="1" applyBorder="1" applyAlignment="1">
      <alignment vertical="center"/>
    </xf>
    <xf numFmtId="0" fontId="94" fillId="0" borderId="10" xfId="0" applyFont="1" applyBorder="1" applyAlignment="1">
      <alignment horizontal="left" vertical="center"/>
    </xf>
    <xf numFmtId="0" fontId="94" fillId="0" borderId="10" xfId="0" applyFont="1" applyBorder="1" applyAlignment="1">
      <alignment vertical="center"/>
    </xf>
    <xf numFmtId="43" fontId="93" fillId="0" borderId="15" xfId="37" applyFont="1" applyBorder="1" applyAlignment="1">
      <alignment vertical="center"/>
    </xf>
    <xf numFmtId="43" fontId="93" fillId="0" borderId="15" xfId="37" applyFont="1" applyBorder="1" applyAlignment="1">
      <alignment horizontal="center" vertical="center"/>
    </xf>
    <xf numFmtId="43" fontId="93" fillId="0" borderId="15" xfId="37" applyFont="1" applyBorder="1" applyAlignment="1">
      <alignment horizontal="center" vertical="center" wrapText="1"/>
    </xf>
    <xf numFmtId="43" fontId="93" fillId="0" borderId="10" xfId="37" applyFont="1" applyBorder="1" applyAlignment="1">
      <alignment horizontal="center" vertical="center"/>
    </xf>
    <xf numFmtId="43" fontId="93" fillId="0" borderId="17" xfId="37" applyFont="1" applyBorder="1" applyAlignment="1">
      <alignment horizontal="center" vertical="center"/>
    </xf>
    <xf numFmtId="43" fontId="93" fillId="0" borderId="17" xfId="37" applyFont="1" applyBorder="1" applyAlignment="1">
      <alignment horizontal="center" vertical="center" wrapText="1"/>
    </xf>
    <xf numFmtId="43" fontId="93" fillId="0" borderId="11" xfId="37" applyFont="1" applyBorder="1" applyAlignment="1">
      <alignment horizontal="center" vertical="center"/>
    </xf>
    <xf numFmtId="43" fontId="90" fillId="0" borderId="11" xfId="37" applyFont="1" applyBorder="1" applyAlignment="1">
      <alignment/>
    </xf>
    <xf numFmtId="43" fontId="93" fillId="0" borderId="11" xfId="37" applyFont="1" applyBorder="1" applyAlignment="1">
      <alignment vertical="center"/>
    </xf>
    <xf numFmtId="43" fontId="93" fillId="0" borderId="11" xfId="37" applyFont="1" applyBorder="1" applyAlignment="1">
      <alignment horizontal="center" vertical="center" wrapText="1"/>
    </xf>
    <xf numFmtId="43" fontId="93" fillId="0" borderId="18" xfId="37" applyFont="1" applyBorder="1" applyAlignment="1">
      <alignment vertical="center"/>
    </xf>
    <xf numFmtId="43" fontId="93" fillId="0" borderId="19" xfId="37" applyFont="1" applyBorder="1" applyAlignment="1">
      <alignment horizontal="center" vertical="center" wrapText="1"/>
    </xf>
    <xf numFmtId="43" fontId="91" fillId="0" borderId="18" xfId="37" applyFont="1" applyBorder="1" applyAlignment="1">
      <alignment/>
    </xf>
    <xf numFmtId="43" fontId="93" fillId="0" borderId="18" xfId="0" applyNumberFormat="1" applyFont="1" applyBorder="1" applyAlignment="1">
      <alignment/>
    </xf>
    <xf numFmtId="43" fontId="90" fillId="0" borderId="20" xfId="0" applyNumberFormat="1" applyFont="1" applyBorder="1" applyAlignment="1">
      <alignment/>
    </xf>
    <xf numFmtId="0" fontId="92" fillId="0" borderId="13" xfId="0" applyFont="1" applyBorder="1" applyAlignment="1">
      <alignment horizontal="center" vertical="center"/>
    </xf>
    <xf numFmtId="0" fontId="92" fillId="0" borderId="13" xfId="0" applyFont="1" applyBorder="1" applyAlignment="1">
      <alignment horizontal="center" vertical="center"/>
    </xf>
    <xf numFmtId="0" fontId="93" fillId="0" borderId="0" xfId="0" applyFont="1" applyAlignment="1">
      <alignment horizontal="center"/>
    </xf>
    <xf numFmtId="0" fontId="2" fillId="0" borderId="0" xfId="0" applyFont="1" applyAlignment="1">
      <alignment/>
    </xf>
    <xf numFmtId="43" fontId="2" fillId="0" borderId="0" xfId="37" applyFont="1" applyAlignment="1">
      <alignment/>
    </xf>
    <xf numFmtId="43" fontId="95" fillId="0" borderId="17" xfId="37" applyFont="1" applyBorder="1" applyAlignment="1">
      <alignment horizontal="center" vertical="center" wrapText="1"/>
    </xf>
    <xf numFmtId="43" fontId="96" fillId="0" borderId="11" xfId="37" applyFont="1" applyBorder="1" applyAlignment="1">
      <alignment/>
    </xf>
    <xf numFmtId="43" fontId="96" fillId="0" borderId="16" xfId="37" applyFont="1" applyBorder="1" applyAlignment="1">
      <alignment/>
    </xf>
    <xf numFmtId="43" fontId="95" fillId="0" borderId="19" xfId="37" applyFont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center"/>
    </xf>
    <xf numFmtId="43" fontId="90" fillId="0" borderId="15" xfId="37" applyFont="1" applyBorder="1" applyAlignment="1">
      <alignment horizontal="center" vertical="center" wrapText="1"/>
    </xf>
    <xf numFmtId="43" fontId="90" fillId="0" borderId="10" xfId="37" applyFont="1" applyBorder="1" applyAlignment="1">
      <alignment horizontal="center" vertical="center"/>
    </xf>
    <xf numFmtId="43" fontId="90" fillId="0" borderId="15" xfId="37" applyFont="1" applyBorder="1" applyAlignment="1">
      <alignment horizontal="left" vertical="center" wrapText="1"/>
    </xf>
    <xf numFmtId="43" fontId="90" fillId="0" borderId="15" xfId="37" applyFont="1" applyBorder="1" applyAlignment="1">
      <alignment horizontal="left" vertical="center"/>
    </xf>
    <xf numFmtId="43" fontId="90" fillId="0" borderId="17" xfId="37" applyFont="1" applyBorder="1" applyAlignment="1">
      <alignment horizontal="left" vertical="center" wrapText="1"/>
    </xf>
    <xf numFmtId="43" fontId="90" fillId="0" borderId="17" xfId="37" applyFont="1" applyBorder="1" applyAlignment="1">
      <alignment horizontal="left" vertical="center"/>
    </xf>
    <xf numFmtId="0" fontId="92" fillId="0" borderId="13" xfId="0" applyFont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43" fontId="91" fillId="0" borderId="0" xfId="0" applyNumberFormat="1" applyFont="1" applyAlignment="1">
      <alignment/>
    </xf>
    <xf numFmtId="43" fontId="91" fillId="0" borderId="0" xfId="37" applyFont="1" applyAlignment="1">
      <alignment/>
    </xf>
    <xf numFmtId="43" fontId="91" fillId="0" borderId="21" xfId="37" applyFont="1" applyBorder="1" applyAlignment="1">
      <alignment/>
    </xf>
    <xf numFmtId="0" fontId="91" fillId="0" borderId="0" xfId="0" applyFont="1" applyBorder="1" applyAlignment="1">
      <alignment vertical="center"/>
    </xf>
    <xf numFmtId="0" fontId="97" fillId="0" borderId="0" xfId="0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vertical="center"/>
    </xf>
    <xf numFmtId="43" fontId="91" fillId="0" borderId="0" xfId="37" applyFont="1" applyBorder="1" applyAlignment="1">
      <alignment vertical="center"/>
    </xf>
    <xf numFmtId="0" fontId="6" fillId="0" borderId="0" xfId="0" applyFont="1" applyAlignment="1">
      <alignment/>
    </xf>
    <xf numFmtId="0" fontId="91" fillId="0" borderId="16" xfId="0" applyFont="1" applyBorder="1" applyAlignment="1">
      <alignment/>
    </xf>
    <xf numFmtId="41" fontId="92" fillId="0" borderId="13" xfId="0" applyNumberFormat="1" applyFont="1" applyBorder="1" applyAlignment="1">
      <alignment/>
    </xf>
    <xf numFmtId="43" fontId="92" fillId="0" borderId="13" xfId="37" applyFont="1" applyBorder="1" applyAlignment="1">
      <alignment/>
    </xf>
    <xf numFmtId="41" fontId="92" fillId="0" borderId="12" xfId="0" applyNumberFormat="1" applyFont="1" applyBorder="1" applyAlignment="1">
      <alignment/>
    </xf>
    <xf numFmtId="43" fontId="92" fillId="0" borderId="12" xfId="37" applyFont="1" applyBorder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/>
    </xf>
    <xf numFmtId="43" fontId="98" fillId="0" borderId="11" xfId="37" applyFont="1" applyBorder="1" applyAlignment="1">
      <alignment/>
    </xf>
    <xf numFmtId="43" fontId="98" fillId="0" borderId="12" xfId="37" applyFont="1" applyBorder="1" applyAlignment="1">
      <alignment/>
    </xf>
    <xf numFmtId="0" fontId="2" fillId="0" borderId="0" xfId="0" applyFont="1" applyBorder="1" applyAlignment="1">
      <alignment vertical="center"/>
    </xf>
    <xf numFmtId="0" fontId="91" fillId="0" borderId="11" xfId="0" applyFont="1" applyBorder="1" applyAlignment="1">
      <alignment/>
    </xf>
    <xf numFmtId="0" fontId="98" fillId="0" borderId="11" xfId="0" applyFont="1" applyBorder="1" applyAlignment="1">
      <alignment/>
    </xf>
    <xf numFmtId="0" fontId="92" fillId="0" borderId="0" xfId="0" applyFont="1" applyAlignment="1">
      <alignment horizontal="center"/>
    </xf>
    <xf numFmtId="0" fontId="91" fillId="0" borderId="11" xfId="0" applyFont="1" applyBorder="1" applyAlignment="1">
      <alignment vertical="center"/>
    </xf>
    <xf numFmtId="0" fontId="91" fillId="0" borderId="11" xfId="0" applyFont="1" applyBorder="1" applyAlignment="1">
      <alignment horizontal="left" vertical="center"/>
    </xf>
    <xf numFmtId="43" fontId="90" fillId="0" borderId="17" xfId="37" applyFont="1" applyBorder="1" applyAlignment="1">
      <alignment vertical="center"/>
    </xf>
    <xf numFmtId="0" fontId="5" fillId="0" borderId="0" xfId="0" applyFont="1" applyFill="1" applyBorder="1" applyAlignment="1" applyProtection="1">
      <alignment vertical="center"/>
      <protection/>
    </xf>
    <xf numFmtId="0" fontId="98" fillId="0" borderId="0" xfId="0" applyFont="1" applyFill="1" applyBorder="1" applyAlignment="1">
      <alignment vertical="center"/>
    </xf>
    <xf numFmtId="43" fontId="91" fillId="0" borderId="0" xfId="37" applyFont="1" applyBorder="1" applyAlignment="1">
      <alignment/>
    </xf>
    <xf numFmtId="43" fontId="90" fillId="0" borderId="15" xfId="37" applyFont="1" applyBorder="1" applyAlignment="1">
      <alignment vertical="center" wrapText="1"/>
    </xf>
    <xf numFmtId="43" fontId="90" fillId="0" borderId="15" xfId="37" applyFont="1" applyBorder="1" applyAlignment="1">
      <alignment vertical="center"/>
    </xf>
    <xf numFmtId="0" fontId="99" fillId="0" borderId="0" xfId="0" applyFont="1" applyAlignment="1">
      <alignment horizontal="center"/>
    </xf>
    <xf numFmtId="0" fontId="100" fillId="0" borderId="11" xfId="0" applyFont="1" applyBorder="1" applyAlignment="1">
      <alignment/>
    </xf>
    <xf numFmtId="43" fontId="90" fillId="0" borderId="17" xfId="37" applyFont="1" applyBorder="1" applyAlignment="1">
      <alignment/>
    </xf>
    <xf numFmtId="43" fontId="90" fillId="0" borderId="12" xfId="0" applyNumberFormat="1" applyFont="1" applyBorder="1" applyAlignment="1">
      <alignment/>
    </xf>
    <xf numFmtId="43" fontId="98" fillId="0" borderId="16" xfId="37" applyFont="1" applyBorder="1" applyAlignment="1">
      <alignment/>
    </xf>
    <xf numFmtId="0" fontId="100" fillId="0" borderId="16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6" xfId="0" applyFont="1" applyBorder="1" applyAlignment="1">
      <alignment/>
    </xf>
    <xf numFmtId="0" fontId="92" fillId="0" borderId="0" xfId="0" applyFont="1" applyAlignment="1">
      <alignment horizontal="center"/>
    </xf>
    <xf numFmtId="0" fontId="92" fillId="0" borderId="13" xfId="0" applyFont="1" applyBorder="1" applyAlignment="1">
      <alignment horizontal="center"/>
    </xf>
    <xf numFmtId="0" fontId="92" fillId="0" borderId="0" xfId="0" applyFont="1" applyAlignment="1">
      <alignment horizontal="center"/>
    </xf>
    <xf numFmtId="0" fontId="99" fillId="0" borderId="0" xfId="0" applyFont="1" applyAlignment="1">
      <alignment horizontal="center"/>
    </xf>
    <xf numFmtId="0" fontId="93" fillId="0" borderId="13" xfId="0" applyFont="1" applyBorder="1" applyAlignment="1">
      <alignment horizontal="center"/>
    </xf>
    <xf numFmtId="0" fontId="93" fillId="0" borderId="0" xfId="0" applyFont="1" applyAlignment="1">
      <alignment horizontal="center"/>
    </xf>
    <xf numFmtId="0" fontId="90" fillId="0" borderId="11" xfId="0" applyFont="1" applyBorder="1" applyAlignment="1">
      <alignment vertical="center"/>
    </xf>
    <xf numFmtId="0" fontId="90" fillId="0" borderId="11" xfId="0" applyFont="1" applyBorder="1" applyAlignment="1">
      <alignment horizontal="left" vertical="center"/>
    </xf>
    <xf numFmtId="0" fontId="90" fillId="0" borderId="0" xfId="0" applyFont="1" applyAlignment="1">
      <alignment horizontal="center"/>
    </xf>
    <xf numFmtId="0" fontId="101" fillId="0" borderId="0" xfId="0" applyFont="1" applyBorder="1" applyAlignment="1">
      <alignment horizontal="center" vertical="center"/>
    </xf>
    <xf numFmtId="0" fontId="102" fillId="0" borderId="0" xfId="0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 horizontal="center" vertical="center"/>
    </xf>
    <xf numFmtId="0" fontId="101" fillId="0" borderId="0" xfId="0" applyFont="1" applyBorder="1" applyAlignment="1">
      <alignment vertical="center"/>
    </xf>
    <xf numFmtId="0" fontId="101" fillId="0" borderId="0" xfId="0" applyFont="1" applyFill="1" applyBorder="1" applyAlignment="1">
      <alignment vertical="center"/>
    </xf>
    <xf numFmtId="43" fontId="101" fillId="0" borderId="0" xfId="37" applyFont="1" applyBorder="1" applyAlignment="1">
      <alignment vertical="center"/>
    </xf>
    <xf numFmtId="0" fontId="103" fillId="0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center"/>
      <protection/>
    </xf>
    <xf numFmtId="0" fontId="101" fillId="0" borderId="0" xfId="0" applyFont="1" applyBorder="1" applyAlignment="1">
      <alignment/>
    </xf>
    <xf numFmtId="0" fontId="102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03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2" fillId="0" borderId="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92" fillId="0" borderId="10" xfId="0" applyFont="1" applyFill="1" applyBorder="1" applyAlignment="1">
      <alignment horizontal="center" vertical="center"/>
    </xf>
    <xf numFmtId="0" fontId="92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92" fillId="0" borderId="11" xfId="0" applyFont="1" applyFill="1" applyBorder="1" applyAlignment="1">
      <alignment vertical="center"/>
    </xf>
    <xf numFmtId="0" fontId="92" fillId="0" borderId="10" xfId="0" applyFont="1" applyFill="1" applyBorder="1" applyAlignment="1">
      <alignment vertical="center"/>
    </xf>
    <xf numFmtId="43" fontId="92" fillId="0" borderId="11" xfId="37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vertical="center"/>
      <protection/>
    </xf>
    <xf numFmtId="43" fontId="91" fillId="0" borderId="11" xfId="37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92" fillId="0" borderId="0" xfId="0" applyFont="1" applyFill="1" applyBorder="1" applyAlignment="1">
      <alignment/>
    </xf>
    <xf numFmtId="43" fontId="92" fillId="0" borderId="12" xfId="0" applyNumberFormat="1" applyFont="1" applyFill="1" applyBorder="1" applyAlignment="1">
      <alignment vertical="center"/>
    </xf>
    <xf numFmtId="43" fontId="92" fillId="0" borderId="12" xfId="37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/>
    </xf>
    <xf numFmtId="43" fontId="9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43" fontId="103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  <protection/>
    </xf>
    <xf numFmtId="0" fontId="92" fillId="0" borderId="0" xfId="0" applyFont="1" applyAlignment="1">
      <alignment horizontal="left"/>
    </xf>
    <xf numFmtId="0" fontId="91" fillId="0" borderId="13" xfId="0" applyFont="1" applyBorder="1" applyAlignment="1">
      <alignment/>
    </xf>
    <xf numFmtId="0" fontId="91" fillId="0" borderId="13" xfId="0" applyFont="1" applyBorder="1" applyAlignment="1">
      <alignment vertical="top"/>
    </xf>
    <xf numFmtId="0" fontId="91" fillId="0" borderId="13" xfId="0" applyFont="1" applyBorder="1" applyAlignment="1">
      <alignment wrapText="1"/>
    </xf>
    <xf numFmtId="49" fontId="92" fillId="0" borderId="13" xfId="0" applyNumberFormat="1" applyFont="1" applyBorder="1" applyAlignment="1">
      <alignment horizontal="center"/>
    </xf>
    <xf numFmtId="49" fontId="91" fillId="0" borderId="13" xfId="0" applyNumberFormat="1" applyFont="1" applyBorder="1" applyAlignment="1">
      <alignment/>
    </xf>
    <xf numFmtId="49" fontId="92" fillId="0" borderId="13" xfId="0" applyNumberFormat="1" applyFont="1" applyBorder="1" applyAlignment="1">
      <alignment horizontal="left"/>
    </xf>
    <xf numFmtId="0" fontId="99" fillId="0" borderId="13" xfId="0" applyFont="1" applyBorder="1" applyAlignment="1">
      <alignment horizontal="center"/>
    </xf>
    <xf numFmtId="0" fontId="98" fillId="0" borderId="10" xfId="0" applyFont="1" applyBorder="1" applyAlignment="1">
      <alignment/>
    </xf>
    <xf numFmtId="43" fontId="98" fillId="0" borderId="10" xfId="37" applyFont="1" applyBorder="1" applyAlignment="1">
      <alignment/>
    </xf>
    <xf numFmtId="0" fontId="98" fillId="0" borderId="16" xfId="0" applyFont="1" applyBorder="1" applyAlignment="1">
      <alignment/>
    </xf>
    <xf numFmtId="0" fontId="103" fillId="0" borderId="0" xfId="0" applyFont="1" applyAlignment="1">
      <alignment/>
    </xf>
    <xf numFmtId="0" fontId="101" fillId="0" borderId="0" xfId="0" applyFont="1" applyAlignment="1">
      <alignment/>
    </xf>
    <xf numFmtId="0" fontId="104" fillId="0" borderId="10" xfId="33" applyNumberFormat="1" applyFont="1" applyFill="1" applyBorder="1" applyAlignment="1">
      <alignment vertical="top" wrapText="1" readingOrder="1"/>
      <protection/>
    </xf>
    <xf numFmtId="0" fontId="104" fillId="0" borderId="11" xfId="33" applyNumberFormat="1" applyFont="1" applyFill="1" applyBorder="1" applyAlignment="1">
      <alignment vertical="top" wrapText="1" readingOrder="1"/>
      <protection/>
    </xf>
    <xf numFmtId="0" fontId="104" fillId="0" borderId="16" xfId="33" applyNumberFormat="1" applyFont="1" applyFill="1" applyBorder="1" applyAlignment="1">
      <alignment vertical="top" wrapText="1" readingOrder="1"/>
      <protection/>
    </xf>
    <xf numFmtId="0" fontId="91" fillId="0" borderId="13" xfId="0" applyFont="1" applyBorder="1" applyAlignment="1">
      <alignment horizontal="center"/>
    </xf>
    <xf numFmtId="0" fontId="91" fillId="0" borderId="13" xfId="0" applyFont="1" applyBorder="1" applyAlignment="1">
      <alignment/>
    </xf>
    <xf numFmtId="43" fontId="2" fillId="0" borderId="13" xfId="37" applyFont="1" applyBorder="1" applyAlignment="1">
      <alignment/>
    </xf>
    <xf numFmtId="0" fontId="9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3" fontId="2" fillId="0" borderId="10" xfId="37" applyFont="1" applyBorder="1" applyAlignment="1">
      <alignment/>
    </xf>
    <xf numFmtId="0" fontId="2" fillId="0" borderId="16" xfId="0" applyFont="1" applyBorder="1" applyAlignment="1">
      <alignment/>
    </xf>
    <xf numFmtId="43" fontId="2" fillId="0" borderId="16" xfId="37" applyFont="1" applyBorder="1" applyAlignment="1">
      <alignment/>
    </xf>
    <xf numFmtId="0" fontId="105" fillId="0" borderId="10" xfId="0" applyFont="1" applyBorder="1" applyAlignment="1">
      <alignment/>
    </xf>
    <xf numFmtId="43" fontId="98" fillId="0" borderId="10" xfId="39" applyFont="1" applyBorder="1" applyAlignment="1">
      <alignment/>
    </xf>
    <xf numFmtId="43" fontId="93" fillId="0" borderId="15" xfId="37" applyFont="1" applyBorder="1" applyAlignment="1">
      <alignment horizontal="center" vertical="center"/>
    </xf>
    <xf numFmtId="0" fontId="93" fillId="0" borderId="10" xfId="0" applyFont="1" applyBorder="1" applyAlignment="1">
      <alignment horizontal="center" vertical="center" wrapText="1"/>
    </xf>
    <xf numFmtId="0" fontId="93" fillId="0" borderId="10" xfId="0" applyFont="1" applyBorder="1" applyAlignment="1">
      <alignment horizontal="center" vertical="center"/>
    </xf>
    <xf numFmtId="43" fontId="93" fillId="0" borderId="10" xfId="37" applyFont="1" applyBorder="1" applyAlignment="1">
      <alignment horizontal="center" vertical="center"/>
    </xf>
    <xf numFmtId="43" fontId="93" fillId="0" borderId="16" xfId="37" applyFont="1" applyBorder="1" applyAlignment="1">
      <alignment horizontal="center" vertical="center"/>
    </xf>
    <xf numFmtId="43" fontId="90" fillId="0" borderId="22" xfId="0" applyNumberFormat="1" applyFont="1" applyBorder="1" applyAlignment="1">
      <alignment/>
    </xf>
    <xf numFmtId="43" fontId="90" fillId="0" borderId="23" xfId="0" applyNumberFormat="1" applyFont="1" applyBorder="1" applyAlignment="1">
      <alignment/>
    </xf>
    <xf numFmtId="0" fontId="92" fillId="0" borderId="0" xfId="0" applyFont="1" applyAlignment="1">
      <alignment horizontal="center"/>
    </xf>
    <xf numFmtId="0" fontId="92" fillId="0" borderId="1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/>
    </xf>
    <xf numFmtId="49" fontId="9" fillId="0" borderId="0" xfId="0" applyNumberFormat="1" applyFont="1" applyAlignment="1">
      <alignment/>
    </xf>
    <xf numFmtId="4" fontId="9" fillId="0" borderId="0" xfId="0" applyNumberFormat="1" applyFont="1" applyBorder="1" applyAlignment="1">
      <alignment/>
    </xf>
    <xf numFmtId="0" fontId="10" fillId="0" borderId="0" xfId="0" applyFont="1" applyAlignment="1">
      <alignment horizontal="right"/>
    </xf>
    <xf numFmtId="49" fontId="9" fillId="0" borderId="0" xfId="0" applyNumberFormat="1" applyFont="1" applyAlignment="1">
      <alignment horizontal="left"/>
    </xf>
    <xf numFmtId="4" fontId="9" fillId="0" borderId="0" xfId="0" applyNumberFormat="1" applyFont="1" applyBorder="1" applyAlignment="1">
      <alignment horizontal="right"/>
    </xf>
    <xf numFmtId="0" fontId="106" fillId="0" borderId="0" xfId="0" applyFont="1" applyAlignment="1">
      <alignment/>
    </xf>
    <xf numFmtId="203" fontId="10" fillId="0" borderId="0" xfId="0" applyNumberFormat="1" applyFont="1" applyAlignment="1">
      <alignment horizontal="right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Alignment="1">
      <alignment horizontal="right"/>
    </xf>
    <xf numFmtId="0" fontId="9" fillId="0" borderId="0" xfId="0" applyFont="1" applyAlignment="1">
      <alignment horizontal="center" wrapText="1"/>
    </xf>
    <xf numFmtId="4" fontId="10" fillId="0" borderId="24" xfId="0" applyNumberFormat="1" applyFont="1" applyBorder="1" applyAlignment="1">
      <alignment horizontal="right"/>
    </xf>
    <xf numFmtId="43" fontId="10" fillId="0" borderId="0" xfId="37" applyFont="1" applyBorder="1" applyAlignment="1">
      <alignment horizontal="right"/>
    </xf>
    <xf numFmtId="0" fontId="107" fillId="0" borderId="25" xfId="0" applyFont="1" applyBorder="1" applyAlignment="1">
      <alignment horizontal="left" vertical="center" readingOrder="1"/>
    </xf>
    <xf numFmtId="49" fontId="10" fillId="0" borderId="0" xfId="0" applyNumberFormat="1" applyFont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06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43" fontId="106" fillId="0" borderId="24" xfId="37" applyFont="1" applyBorder="1" applyAlignment="1">
      <alignment horizontal="right"/>
    </xf>
    <xf numFmtId="0" fontId="106" fillId="0" borderId="0" xfId="0" applyFont="1" applyAlignment="1">
      <alignment horizontal="left"/>
    </xf>
    <xf numFmtId="43" fontId="9" fillId="0" borderId="0" xfId="37" applyFont="1" applyBorder="1" applyAlignment="1">
      <alignment horizontal="right"/>
    </xf>
    <xf numFmtId="43" fontId="10" fillId="0" borderId="24" xfId="37" applyFont="1" applyBorder="1" applyAlignment="1">
      <alignment horizontal="right"/>
    </xf>
    <xf numFmtId="43" fontId="10" fillId="0" borderId="0" xfId="37" applyFont="1" applyBorder="1" applyAlignment="1">
      <alignment horizontal="right" vertical="center"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horizontal="right"/>
    </xf>
    <xf numFmtId="0" fontId="10" fillId="0" borderId="0" xfId="0" applyNumberFormat="1" applyFont="1" applyAlignment="1">
      <alignment wrapText="1"/>
    </xf>
    <xf numFmtId="49" fontId="10" fillId="0" borderId="0" xfId="0" applyNumberFormat="1" applyFont="1" applyBorder="1" applyAlignment="1">
      <alignment/>
    </xf>
    <xf numFmtId="43" fontId="2" fillId="0" borderId="0" xfId="37" applyFont="1" applyBorder="1" applyAlignment="1">
      <alignment vertical="center"/>
    </xf>
    <xf numFmtId="0" fontId="101" fillId="0" borderId="0" xfId="0" applyFont="1" applyBorder="1" applyAlignment="1">
      <alignment horizontal="center" vertical="center"/>
    </xf>
    <xf numFmtId="0" fontId="92" fillId="0" borderId="13" xfId="0" applyFont="1" applyBorder="1" applyAlignment="1">
      <alignment horizontal="center"/>
    </xf>
    <xf numFmtId="43" fontId="91" fillId="0" borderId="13" xfId="37" applyFont="1" applyBorder="1" applyAlignment="1">
      <alignment/>
    </xf>
    <xf numFmtId="43" fontId="8" fillId="0" borderId="0" xfId="37" applyFont="1" applyBorder="1" applyAlignment="1">
      <alignment vertical="center"/>
    </xf>
    <xf numFmtId="43" fontId="8" fillId="0" borderId="24" xfId="37" applyFont="1" applyBorder="1" applyAlignment="1">
      <alignment vertical="center"/>
    </xf>
    <xf numFmtId="43" fontId="6" fillId="0" borderId="0" xfId="37" applyFont="1" applyFill="1" applyBorder="1" applyAlignment="1">
      <alignment horizontal="center" vertical="center"/>
    </xf>
    <xf numFmtId="43" fontId="6" fillId="0" borderId="0" xfId="37" applyFont="1" applyFill="1" applyBorder="1" applyAlignment="1" applyProtection="1">
      <alignment horizontal="center" vertical="center"/>
      <protection/>
    </xf>
    <xf numFmtId="43" fontId="8" fillId="0" borderId="0" xfId="37" applyFont="1" applyFill="1" applyBorder="1" applyAlignment="1">
      <alignment vertical="center"/>
    </xf>
    <xf numFmtId="49" fontId="92" fillId="0" borderId="0" xfId="0" applyNumberFormat="1" applyFont="1" applyBorder="1" applyAlignment="1">
      <alignment horizontal="center"/>
    </xf>
    <xf numFmtId="43" fontId="91" fillId="0" borderId="0" xfId="37" applyFont="1" applyBorder="1" applyAlignment="1">
      <alignment horizontal="center"/>
    </xf>
    <xf numFmtId="43" fontId="3" fillId="0" borderId="11" xfId="37" applyFont="1" applyFill="1" applyBorder="1" applyAlignment="1">
      <alignment vertical="center"/>
    </xf>
    <xf numFmtId="43" fontId="2" fillId="0" borderId="11" xfId="37" applyFont="1" applyFill="1" applyBorder="1" applyAlignment="1">
      <alignment vertical="center"/>
    </xf>
    <xf numFmtId="43" fontId="3" fillId="0" borderId="12" xfId="37" applyFont="1" applyFill="1" applyBorder="1" applyAlignment="1">
      <alignment vertical="center"/>
    </xf>
    <xf numFmtId="43" fontId="3" fillId="0" borderId="0" xfId="37" applyFont="1" applyFill="1" applyBorder="1" applyAlignment="1">
      <alignment vertical="center"/>
    </xf>
    <xf numFmtId="43" fontId="6" fillId="0" borderId="0" xfId="37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3" fontId="2" fillId="0" borderId="11" xfId="37" applyFont="1" applyFill="1" applyBorder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108" fillId="0" borderId="0" xfId="0" applyFont="1" applyFill="1" applyBorder="1" applyAlignment="1" applyProtection="1">
      <alignment vertical="center"/>
      <protection/>
    </xf>
    <xf numFmtId="0" fontId="108" fillId="0" borderId="0" xfId="0" applyFont="1" applyBorder="1" applyAlignment="1">
      <alignment vertical="center"/>
    </xf>
    <xf numFmtId="0" fontId="92" fillId="0" borderId="13" xfId="0" applyFont="1" applyBorder="1" applyAlignment="1">
      <alignment horizontal="center"/>
    </xf>
    <xf numFmtId="0" fontId="91" fillId="0" borderId="13" xfId="0" applyFont="1" applyBorder="1" applyAlignment="1">
      <alignment horizontal="center"/>
    </xf>
    <xf numFmtId="43" fontId="92" fillId="0" borderId="10" xfId="0" applyNumberFormat="1" applyFont="1" applyBorder="1" applyAlignment="1">
      <alignment horizontal="center" vertical="center"/>
    </xf>
    <xf numFmtId="43" fontId="92" fillId="0" borderId="11" xfId="0" applyNumberFormat="1" applyFont="1" applyBorder="1" applyAlignment="1">
      <alignment horizontal="center" vertical="center"/>
    </xf>
    <xf numFmtId="0" fontId="109" fillId="0" borderId="26" xfId="0" applyFont="1" applyBorder="1" applyAlignment="1">
      <alignment horizontal="center" vertical="center"/>
    </xf>
    <xf numFmtId="0" fontId="92" fillId="0" borderId="26" xfId="0" applyFont="1" applyBorder="1" applyAlignment="1">
      <alignment horizontal="center" vertical="center"/>
    </xf>
    <xf numFmtId="0" fontId="91" fillId="0" borderId="27" xfId="0" applyFont="1" applyBorder="1" applyAlignment="1">
      <alignment horizontal="left" vertical="center" indent="1"/>
    </xf>
    <xf numFmtId="0" fontId="91" fillId="0" borderId="27" xfId="0" applyFont="1" applyBorder="1" applyAlignment="1">
      <alignment horizontal="left" indent="1"/>
    </xf>
    <xf numFmtId="0" fontId="91" fillId="0" borderId="28" xfId="0" applyFont="1" applyBorder="1" applyAlignment="1">
      <alignment/>
    </xf>
    <xf numFmtId="43" fontId="2" fillId="0" borderId="13" xfId="37" applyFont="1" applyBorder="1" applyAlignment="1">
      <alignment horizontal="center" vertical="center"/>
    </xf>
    <xf numFmtId="0" fontId="92" fillId="0" borderId="13" xfId="0" applyFont="1" applyBorder="1" applyAlignment="1">
      <alignment/>
    </xf>
    <xf numFmtId="0" fontId="110" fillId="0" borderId="0" xfId="0" applyFont="1" applyAlignment="1">
      <alignment/>
    </xf>
    <xf numFmtId="14" fontId="91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Alignment="1" quotePrefix="1">
      <alignment horizontal="center"/>
    </xf>
    <xf numFmtId="43" fontId="2" fillId="0" borderId="11" xfId="37" applyFont="1" applyBorder="1" applyAlignment="1">
      <alignment/>
    </xf>
    <xf numFmtId="0" fontId="10" fillId="0" borderId="11" xfId="0" applyFont="1" applyBorder="1" applyAlignment="1">
      <alignment/>
    </xf>
    <xf numFmtId="0" fontId="2" fillId="0" borderId="11" xfId="0" applyFont="1" applyBorder="1" applyAlignment="1" quotePrefix="1">
      <alignment horizontal="center"/>
    </xf>
    <xf numFmtId="43" fontId="2" fillId="0" borderId="0" xfId="37" applyFont="1" applyBorder="1" applyAlignment="1">
      <alignment/>
    </xf>
    <xf numFmtId="43" fontId="2" fillId="0" borderId="0" xfId="0" applyNumberFormat="1" applyFont="1" applyAlignment="1">
      <alignment/>
    </xf>
    <xf numFmtId="43" fontId="2" fillId="0" borderId="0" xfId="37" applyFont="1" applyFill="1" applyAlignment="1">
      <alignment/>
    </xf>
    <xf numFmtId="43" fontId="2" fillId="0" borderId="11" xfId="37" applyFont="1" applyBorder="1" applyAlignment="1">
      <alignment horizontal="center"/>
    </xf>
    <xf numFmtId="0" fontId="5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 quotePrefix="1">
      <alignment horizontal="center"/>
    </xf>
    <xf numFmtId="0" fontId="2" fillId="0" borderId="29" xfId="0" applyFont="1" applyBorder="1" applyAlignment="1">
      <alignment/>
    </xf>
    <xf numFmtId="0" fontId="2" fillId="0" borderId="29" xfId="0" applyFont="1" applyBorder="1" applyAlignment="1">
      <alignment horizontal="center"/>
    </xf>
    <xf numFmtId="43" fontId="2" fillId="0" borderId="29" xfId="37" applyFont="1" applyBorder="1" applyAlignment="1">
      <alignment/>
    </xf>
    <xf numFmtId="0" fontId="3" fillId="0" borderId="16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11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43" fontId="112" fillId="0" borderId="13" xfId="37" applyFont="1" applyBorder="1" applyAlignment="1">
      <alignment/>
    </xf>
    <xf numFmtId="43" fontId="5" fillId="0" borderId="0" xfId="0" applyNumberFormat="1" applyFont="1" applyAlignment="1">
      <alignment/>
    </xf>
    <xf numFmtId="0" fontId="5" fillId="0" borderId="0" xfId="0" applyFont="1" applyAlignment="1">
      <alignment/>
    </xf>
    <xf numFmtId="43" fontId="3" fillId="0" borderId="0" xfId="37" applyFont="1" applyBorder="1" applyAlignment="1">
      <alignment/>
    </xf>
    <xf numFmtId="0" fontId="2" fillId="0" borderId="0" xfId="0" applyFont="1" applyAlignment="1">
      <alignment horizontal="center"/>
    </xf>
    <xf numFmtId="43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91" fillId="0" borderId="0" xfId="0" applyFont="1" applyBorder="1" applyAlignment="1">
      <alignment/>
    </xf>
    <xf numFmtId="0" fontId="98" fillId="0" borderId="0" xfId="0" applyFont="1" applyBorder="1" applyAlignment="1">
      <alignment/>
    </xf>
    <xf numFmtId="43" fontId="11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43" fontId="113" fillId="0" borderId="21" xfId="37" applyFont="1" applyBorder="1" applyAlignment="1">
      <alignment/>
    </xf>
    <xf numFmtId="43" fontId="92" fillId="0" borderId="0" xfId="37" applyFont="1" applyAlignment="1">
      <alignment/>
    </xf>
    <xf numFmtId="43" fontId="3" fillId="0" borderId="0" xfId="37" applyFont="1" applyAlignment="1">
      <alignment/>
    </xf>
    <xf numFmtId="43" fontId="114" fillId="0" borderId="21" xfId="37" applyFont="1" applyBorder="1" applyAlignment="1">
      <alignment/>
    </xf>
    <xf numFmtId="0" fontId="4" fillId="0" borderId="0" xfId="0" applyFont="1" applyAlignment="1">
      <alignment/>
    </xf>
    <xf numFmtId="43" fontId="114" fillId="0" borderId="0" xfId="37" applyFont="1" applyAlignment="1">
      <alignment/>
    </xf>
    <xf numFmtId="43" fontId="115" fillId="0" borderId="0" xfId="37" applyFont="1" applyBorder="1" applyAlignment="1">
      <alignment/>
    </xf>
    <xf numFmtId="0" fontId="115" fillId="0" borderId="0" xfId="0" applyFont="1" applyAlignment="1">
      <alignment/>
    </xf>
    <xf numFmtId="43" fontId="114" fillId="0" borderId="0" xfId="0" applyNumberFormat="1" applyFont="1" applyAlignment="1">
      <alignment/>
    </xf>
    <xf numFmtId="43" fontId="114" fillId="0" borderId="0" xfId="37" applyFont="1" applyBorder="1" applyAlignment="1">
      <alignment/>
    </xf>
    <xf numFmtId="0" fontId="2" fillId="0" borderId="0" xfId="0" applyFont="1" applyAlignment="1">
      <alignment horizontal="left"/>
    </xf>
    <xf numFmtId="43" fontId="110" fillId="0" borderId="0" xfId="0" applyNumberFormat="1" applyFont="1" applyAlignment="1">
      <alignment/>
    </xf>
    <xf numFmtId="43" fontId="2" fillId="0" borderId="11" xfId="37" applyFont="1" applyBorder="1" applyAlignment="1">
      <alignment horizontal="right"/>
    </xf>
    <xf numFmtId="43" fontId="114" fillId="0" borderId="12" xfId="37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3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2" fillId="0" borderId="10" xfId="0" applyFont="1" applyBorder="1" applyAlignment="1">
      <alignment horizontal="center"/>
    </xf>
    <xf numFmtId="43" fontId="2" fillId="0" borderId="15" xfId="37" applyFont="1" applyBorder="1" applyAlignment="1">
      <alignment/>
    </xf>
    <xf numFmtId="0" fontId="3" fillId="0" borderId="11" xfId="0" applyFont="1" applyBorder="1" applyAlignment="1">
      <alignment horizontal="center"/>
    </xf>
    <xf numFmtId="43" fontId="3" fillId="0" borderId="12" xfId="37" applyFont="1" applyBorder="1" applyAlignment="1">
      <alignment/>
    </xf>
    <xf numFmtId="43" fontId="3" fillId="0" borderId="12" xfId="37" applyFont="1" applyBorder="1" applyAlignment="1">
      <alignment horizontal="center"/>
    </xf>
    <xf numFmtId="43" fontId="3" fillId="0" borderId="11" xfId="37" applyFont="1" applyBorder="1" applyAlignment="1">
      <alignment/>
    </xf>
    <xf numFmtId="0" fontId="2" fillId="0" borderId="0" xfId="0" applyFont="1" applyBorder="1" applyAlignment="1">
      <alignment horizontal="center"/>
    </xf>
    <xf numFmtId="43" fontId="2" fillId="0" borderId="0" xfId="37" applyFont="1" applyBorder="1" applyAlignment="1">
      <alignment horizontal="center"/>
    </xf>
    <xf numFmtId="43" fontId="110" fillId="0" borderId="0" xfId="0" applyNumberFormat="1" applyFont="1" applyBorder="1" applyAlignment="1">
      <alignment/>
    </xf>
    <xf numFmtId="0" fontId="110" fillId="0" borderId="0" xfId="0" applyFont="1" applyBorder="1" applyAlignment="1">
      <alignment/>
    </xf>
    <xf numFmtId="43" fontId="2" fillId="0" borderId="29" xfId="37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3" fontId="2" fillId="0" borderId="11" xfId="37" applyFont="1" applyBorder="1" applyAlignment="1">
      <alignment horizontal="center" vertical="center"/>
    </xf>
    <xf numFmtId="43" fontId="2" fillId="0" borderId="12" xfId="37" applyFont="1" applyBorder="1" applyAlignment="1">
      <alignment horizontal="center" vertical="center"/>
    </xf>
    <xf numFmtId="43" fontId="3" fillId="0" borderId="12" xfId="37" applyFont="1" applyBorder="1" applyAlignment="1">
      <alignment horizontal="center" vertical="center"/>
    </xf>
    <xf numFmtId="43" fontId="3" fillId="0" borderId="13" xfId="37" applyFont="1" applyBorder="1" applyAlignment="1">
      <alignment/>
    </xf>
    <xf numFmtId="43" fontId="3" fillId="0" borderId="13" xfId="37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43" fontId="2" fillId="0" borderId="29" xfId="37" applyFont="1" applyBorder="1" applyAlignment="1">
      <alignment horizontal="center" vertical="center"/>
    </xf>
    <xf numFmtId="43" fontId="3" fillId="0" borderId="11" xfId="37" applyFont="1" applyBorder="1" applyAlignment="1">
      <alignment horizontal="center"/>
    </xf>
    <xf numFmtId="43" fontId="3" fillId="0" borderId="10" xfId="37" applyFont="1" applyBorder="1" applyAlignment="1">
      <alignment/>
    </xf>
    <xf numFmtId="43" fontId="2" fillId="0" borderId="10" xfId="37" applyFont="1" applyBorder="1" applyAlignment="1">
      <alignment horizontal="center"/>
    </xf>
    <xf numFmtId="43" fontId="3" fillId="0" borderId="10" xfId="37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200" fontId="3" fillId="0" borderId="11" xfId="37" applyNumberFormat="1" applyFont="1" applyBorder="1" applyAlignment="1">
      <alignment horizontal="right"/>
    </xf>
    <xf numFmtId="43" fontId="3" fillId="0" borderId="12" xfId="37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3" fontId="3" fillId="0" borderId="0" xfId="37" applyFont="1" applyBorder="1" applyAlignment="1">
      <alignment horizontal="center"/>
    </xf>
    <xf numFmtId="43" fontId="3" fillId="0" borderId="0" xfId="37" applyFont="1" applyBorder="1" applyAlignment="1">
      <alignment horizontal="right"/>
    </xf>
    <xf numFmtId="43" fontId="3" fillId="0" borderId="29" xfId="37" applyFont="1" applyBorder="1" applyAlignment="1">
      <alignment horizontal="center"/>
    </xf>
    <xf numFmtId="43" fontId="3" fillId="0" borderId="29" xfId="37" applyFont="1" applyBorder="1" applyAlignment="1">
      <alignment horizontal="right"/>
    </xf>
    <xf numFmtId="200" fontId="2" fillId="0" borderId="11" xfId="37" applyNumberFormat="1" applyFont="1" applyBorder="1" applyAlignment="1">
      <alignment/>
    </xf>
    <xf numFmtId="200" fontId="2" fillId="0" borderId="11" xfId="0" applyNumberFormat="1" applyFont="1" applyBorder="1" applyAlignment="1">
      <alignment horizontal="center"/>
    </xf>
    <xf numFmtId="43" fontId="3" fillId="0" borderId="13" xfId="0" applyNumberFormat="1" applyFont="1" applyBorder="1" applyAlignment="1">
      <alignment/>
    </xf>
    <xf numFmtId="43" fontId="3" fillId="0" borderId="13" xfId="0" applyNumberFormat="1" applyFont="1" applyBorder="1" applyAlignment="1">
      <alignment horizontal="center"/>
    </xf>
    <xf numFmtId="43" fontId="114" fillId="0" borderId="12" xfId="37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0" xfId="0" applyFont="1" applyBorder="1" applyAlignment="1" quotePrefix="1">
      <alignment horizontal="center"/>
    </xf>
    <xf numFmtId="0" fontId="2" fillId="0" borderId="17" xfId="0" applyFont="1" applyBorder="1" applyAlignment="1">
      <alignment horizontal="left"/>
    </xf>
    <xf numFmtId="0" fontId="2" fillId="0" borderId="11" xfId="0" applyFont="1" applyBorder="1" applyAlignment="1" quotePrefix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3" fontId="2" fillId="0" borderId="0" xfId="37" applyFont="1" applyBorder="1" applyAlignment="1">
      <alignment horizontal="center" vertical="center" wrapText="1"/>
    </xf>
    <xf numFmtId="43" fontId="12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0" fontId="2" fillId="0" borderId="17" xfId="0" applyFont="1" applyBorder="1" applyAlignment="1">
      <alignment horizontal="center"/>
    </xf>
    <xf numFmtId="43" fontId="2" fillId="0" borderId="17" xfId="37" applyFont="1" applyBorder="1" applyAlignment="1">
      <alignment/>
    </xf>
    <xf numFmtId="43" fontId="3" fillId="0" borderId="32" xfId="37" applyFont="1" applyBorder="1" applyAlignment="1">
      <alignment/>
    </xf>
    <xf numFmtId="0" fontId="5" fillId="0" borderId="29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4" fillId="0" borderId="0" xfId="0" applyFont="1" applyAlignment="1">
      <alignment/>
    </xf>
    <xf numFmtId="0" fontId="5" fillId="0" borderId="16" xfId="0" applyFont="1" applyBorder="1" applyAlignment="1">
      <alignment horizontal="center"/>
    </xf>
    <xf numFmtId="49" fontId="91" fillId="0" borderId="13" xfId="0" applyNumberFormat="1" applyFont="1" applyBorder="1" applyAlignment="1">
      <alignment horizontal="left"/>
    </xf>
    <xf numFmtId="0" fontId="96" fillId="0" borderId="11" xfId="0" applyFont="1" applyBorder="1" applyAlignment="1">
      <alignment/>
    </xf>
    <xf numFmtId="0" fontId="98" fillId="0" borderId="11" xfId="0" applyFont="1" applyBorder="1" applyAlignment="1">
      <alignment vertical="center"/>
    </xf>
    <xf numFmtId="0" fontId="104" fillId="0" borderId="11" xfId="33" applyNumberFormat="1" applyFont="1" applyFill="1" applyBorder="1" applyAlignment="1">
      <alignment vertical="center" wrapText="1" readingOrder="1"/>
      <protection/>
    </xf>
    <xf numFmtId="0" fontId="98" fillId="0" borderId="11" xfId="0" applyFont="1" applyBorder="1" applyAlignment="1">
      <alignment horizontal="left" vertical="center"/>
    </xf>
    <xf numFmtId="43" fontId="99" fillId="0" borderId="12" xfId="37" applyFont="1" applyBorder="1" applyAlignment="1">
      <alignment/>
    </xf>
    <xf numFmtId="43" fontId="98" fillId="0" borderId="11" xfId="37" applyFont="1" applyBorder="1" applyAlignment="1">
      <alignment vertical="center"/>
    </xf>
    <xf numFmtId="0" fontId="98" fillId="0" borderId="0" xfId="0" applyFont="1" applyAlignment="1">
      <alignment vertical="center"/>
    </xf>
    <xf numFmtId="0" fontId="99" fillId="0" borderId="16" xfId="0" applyFont="1" applyBorder="1" applyAlignment="1">
      <alignment horizontal="center"/>
    </xf>
    <xf numFmtId="0" fontId="98" fillId="0" borderId="29" xfId="0" applyFont="1" applyBorder="1" applyAlignment="1">
      <alignment horizontal="left" vertical="center"/>
    </xf>
    <xf numFmtId="0" fontId="98" fillId="0" borderId="29" xfId="0" applyFont="1" applyBorder="1" applyAlignment="1">
      <alignment vertical="center"/>
    </xf>
    <xf numFmtId="0" fontId="104" fillId="0" borderId="29" xfId="33" applyNumberFormat="1" applyFont="1" applyFill="1" applyBorder="1" applyAlignment="1">
      <alignment vertical="center" wrapText="1" readingOrder="1"/>
      <protection/>
    </xf>
    <xf numFmtId="0" fontId="104" fillId="0" borderId="29" xfId="33" applyNumberFormat="1" applyFont="1" applyFill="1" applyBorder="1" applyAlignment="1">
      <alignment vertical="top" wrapText="1" readingOrder="1"/>
      <protection/>
    </xf>
    <xf numFmtId="43" fontId="98" fillId="0" borderId="29" xfId="37" applyFont="1" applyBorder="1" applyAlignment="1">
      <alignment/>
    </xf>
    <xf numFmtId="0" fontId="96" fillId="0" borderId="0" xfId="0" applyFont="1" applyAlignment="1">
      <alignment/>
    </xf>
    <xf numFmtId="43" fontId="92" fillId="0" borderId="21" xfId="37" applyFont="1" applyBorder="1" applyAlignment="1">
      <alignment/>
    </xf>
    <xf numFmtId="43" fontId="2" fillId="0" borderId="0" xfId="37" applyFont="1" applyBorder="1" applyAlignment="1">
      <alignment horizontal="center" vertical="center"/>
    </xf>
    <xf numFmtId="43" fontId="92" fillId="0" borderId="10" xfId="37" applyFont="1" applyBorder="1" applyAlignment="1">
      <alignment/>
    </xf>
    <xf numFmtId="43" fontId="92" fillId="0" borderId="11" xfId="37" applyFont="1" applyBorder="1" applyAlignment="1">
      <alignment/>
    </xf>
    <xf numFmtId="43" fontId="92" fillId="0" borderId="16" xfId="37" applyFont="1" applyBorder="1" applyAlignment="1">
      <alignment/>
    </xf>
    <xf numFmtId="43" fontId="90" fillId="0" borderId="0" xfId="0" applyNumberFormat="1" applyFont="1" applyAlignment="1">
      <alignment/>
    </xf>
    <xf numFmtId="43" fontId="116" fillId="0" borderId="17" xfId="37" applyFont="1" applyBorder="1" applyAlignment="1">
      <alignment horizontal="center" vertical="center" wrapText="1"/>
    </xf>
    <xf numFmtId="43" fontId="91" fillId="0" borderId="13" xfId="37" applyFont="1" applyBorder="1" applyAlignment="1">
      <alignment horizontal="center"/>
    </xf>
    <xf numFmtId="0" fontId="92" fillId="0" borderId="0" xfId="0" applyFont="1" applyAlignment="1">
      <alignment horizontal="center"/>
    </xf>
    <xf numFmtId="0" fontId="91" fillId="0" borderId="13" xfId="0" applyFont="1" applyBorder="1" applyAlignment="1">
      <alignment horizontal="center"/>
    </xf>
    <xf numFmtId="0" fontId="99" fillId="0" borderId="0" xfId="0" applyFont="1" applyAlignment="1">
      <alignment horizontal="center"/>
    </xf>
    <xf numFmtId="0" fontId="92" fillId="0" borderId="29" xfId="0" applyFont="1" applyBorder="1" applyAlignment="1">
      <alignment horizontal="center"/>
    </xf>
    <xf numFmtId="0" fontId="9" fillId="0" borderId="0" xfId="0" applyFont="1" applyAlignment="1">
      <alignment wrapText="1"/>
    </xf>
    <xf numFmtId="43" fontId="9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4" fontId="9" fillId="0" borderId="24" xfId="0" applyNumberFormat="1" applyFont="1" applyBorder="1" applyAlignment="1">
      <alignment horizontal="right"/>
    </xf>
    <xf numFmtId="0" fontId="92" fillId="0" borderId="0" xfId="0" applyFont="1" applyAlignment="1">
      <alignment horizontal="center"/>
    </xf>
    <xf numFmtId="49" fontId="92" fillId="0" borderId="13" xfId="0" applyNumberFormat="1" applyFont="1" applyBorder="1" applyAlignment="1">
      <alignment horizontal="center"/>
    </xf>
    <xf numFmtId="0" fontId="99" fillId="0" borderId="0" xfId="0" applyFont="1" applyAlignment="1">
      <alignment horizontal="center"/>
    </xf>
    <xf numFmtId="0" fontId="92" fillId="0" borderId="0" xfId="0" applyFont="1" applyBorder="1" applyAlignment="1">
      <alignment horizontal="center"/>
    </xf>
    <xf numFmtId="0" fontId="92" fillId="0" borderId="0" xfId="0" applyFont="1" applyBorder="1" applyAlignment="1">
      <alignment/>
    </xf>
    <xf numFmtId="0" fontId="92" fillId="0" borderId="29" xfId="0" applyFont="1" applyBorder="1" applyAlignment="1">
      <alignment/>
    </xf>
    <xf numFmtId="0" fontId="92" fillId="0" borderId="16" xfId="0" applyFont="1" applyBorder="1" applyAlignment="1">
      <alignment horizontal="center"/>
    </xf>
    <xf numFmtId="43" fontId="93" fillId="0" borderId="12" xfId="0" applyNumberFormat="1" applyFont="1" applyBorder="1" applyAlignment="1">
      <alignment/>
    </xf>
    <xf numFmtId="43" fontId="101" fillId="0" borderId="0" xfId="0" applyNumberFormat="1" applyFont="1" applyBorder="1" applyAlignment="1">
      <alignment vertical="center"/>
    </xf>
    <xf numFmtId="43" fontId="8" fillId="0" borderId="0" xfId="37" applyFont="1" applyFill="1" applyBorder="1" applyAlignment="1">
      <alignment horizontal="center" vertical="center"/>
    </xf>
    <xf numFmtId="43" fontId="8" fillId="0" borderId="0" xfId="37" applyFont="1" applyFill="1" applyBorder="1" applyAlignment="1" applyProtection="1">
      <alignment horizontal="center" vertical="center"/>
      <protection/>
    </xf>
    <xf numFmtId="43" fontId="6" fillId="0" borderId="21" xfId="37" applyFont="1" applyBorder="1" applyAlignment="1">
      <alignment vertical="center"/>
    </xf>
    <xf numFmtId="43" fontId="102" fillId="0" borderId="33" xfId="37" applyFont="1" applyBorder="1" applyAlignment="1">
      <alignment vertical="center"/>
    </xf>
    <xf numFmtId="43" fontId="102" fillId="0" borderId="0" xfId="37" applyFont="1" applyBorder="1" applyAlignment="1">
      <alignment vertical="center"/>
    </xf>
    <xf numFmtId="43" fontId="98" fillId="0" borderId="11" xfId="37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31" xfId="0" applyFont="1" applyBorder="1" applyAlignment="1">
      <alignment vertical="center"/>
    </xf>
    <xf numFmtId="43" fontId="13" fillId="0" borderId="31" xfId="37" applyFont="1" applyBorder="1" applyAlignment="1">
      <alignment vertical="center"/>
    </xf>
    <xf numFmtId="43" fontId="13" fillId="0" borderId="34" xfId="37" applyFont="1" applyBorder="1" applyAlignment="1">
      <alignment vertical="center"/>
    </xf>
    <xf numFmtId="43" fontId="13" fillId="0" borderId="15" xfId="37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43" fontId="13" fillId="0" borderId="30" xfId="37" applyFont="1" applyBorder="1" applyAlignment="1">
      <alignment horizontal="center" vertical="center"/>
    </xf>
    <xf numFmtId="43" fontId="13" fillId="0" borderId="0" xfId="37" applyFont="1" applyBorder="1" applyAlignment="1">
      <alignment vertical="center"/>
    </xf>
    <xf numFmtId="43" fontId="13" fillId="0" borderId="17" xfId="37" applyFont="1" applyBorder="1" applyAlignment="1">
      <alignment vertical="center"/>
    </xf>
    <xf numFmtId="43" fontId="98" fillId="0" borderId="0" xfId="0" applyNumberFormat="1" applyFont="1" applyAlignment="1">
      <alignment/>
    </xf>
    <xf numFmtId="0" fontId="15" fillId="0" borderId="0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43" fontId="13" fillId="0" borderId="30" xfId="37" applyFont="1" applyBorder="1" applyAlignment="1">
      <alignment horizontal="right" vertical="center"/>
    </xf>
    <xf numFmtId="43" fontId="13" fillId="0" borderId="0" xfId="37" applyFont="1" applyBorder="1" applyAlignment="1">
      <alignment horizontal="right" vertical="center"/>
    </xf>
    <xf numFmtId="43" fontId="98" fillId="0" borderId="0" xfId="37" applyFont="1" applyAlignment="1">
      <alignment/>
    </xf>
    <xf numFmtId="43" fontId="13" fillId="0" borderId="30" xfId="37" applyFont="1" applyBorder="1" applyAlignment="1">
      <alignment vertical="center"/>
    </xf>
    <xf numFmtId="43" fontId="5" fillId="0" borderId="0" xfId="37" applyFont="1" applyBorder="1" applyAlignment="1">
      <alignment horizontal="center" vertical="center"/>
    </xf>
    <xf numFmtId="43" fontId="13" fillId="0" borderId="17" xfId="37" applyFont="1" applyBorder="1" applyAlignment="1">
      <alignment horizontal="center" vertical="center"/>
    </xf>
    <xf numFmtId="43" fontId="5" fillId="0" borderId="29" xfId="37" applyFont="1" applyBorder="1" applyAlignment="1">
      <alignment horizontal="center" vertical="center"/>
    </xf>
    <xf numFmtId="43" fontId="13" fillId="0" borderId="29" xfId="37" applyFont="1" applyBorder="1" applyAlignment="1">
      <alignment horizontal="center" vertical="center"/>
    </xf>
    <xf numFmtId="0" fontId="13" fillId="0" borderId="35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43" fontId="13" fillId="0" borderId="35" xfId="37" applyFont="1" applyBorder="1" applyAlignment="1">
      <alignment vertical="center"/>
    </xf>
    <xf numFmtId="43" fontId="13" fillId="0" borderId="29" xfId="37" applyFont="1" applyBorder="1" applyAlignment="1">
      <alignment vertical="center"/>
    </xf>
    <xf numFmtId="43" fontId="13" fillId="0" borderId="36" xfId="37" applyFont="1" applyBorder="1" applyAlignment="1">
      <alignment horizontal="center" vertical="center"/>
    </xf>
    <xf numFmtId="43" fontId="13" fillId="0" borderId="14" xfId="37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43" fontId="13" fillId="0" borderId="0" xfId="37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4" fontId="13" fillId="0" borderId="0" xfId="0" applyNumberFormat="1" applyFont="1" applyAlignment="1">
      <alignment vertical="center"/>
    </xf>
    <xf numFmtId="49" fontId="13" fillId="0" borderId="0" xfId="0" applyNumberFormat="1" applyFont="1" applyAlignment="1">
      <alignment horizontal="center" vertical="center"/>
    </xf>
    <xf numFmtId="0" fontId="98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13" fillId="0" borderId="0" xfId="0" applyNumberFormat="1" applyFont="1" applyAlignment="1">
      <alignment horizontal="center" vertical="center"/>
    </xf>
    <xf numFmtId="0" fontId="117" fillId="0" borderId="0" xfId="0" applyFont="1" applyAlignment="1">
      <alignment/>
    </xf>
    <xf numFmtId="43" fontId="5" fillId="0" borderId="0" xfId="37" applyFont="1" applyAlignment="1">
      <alignment vertical="center"/>
    </xf>
    <xf numFmtId="0" fontId="98" fillId="0" borderId="13" xfId="0" applyFont="1" applyBorder="1" applyAlignment="1">
      <alignment horizontal="center"/>
    </xf>
    <xf numFmtId="0" fontId="96" fillId="0" borderId="13" xfId="0" applyFont="1" applyBorder="1" applyAlignment="1">
      <alignment horizontal="center"/>
    </xf>
    <xf numFmtId="0" fontId="92" fillId="0" borderId="0" xfId="0" applyFont="1" applyBorder="1" applyAlignment="1">
      <alignment/>
    </xf>
    <xf numFmtId="0" fontId="92" fillId="0" borderId="29" xfId="0" applyFont="1" applyBorder="1" applyAlignment="1">
      <alignment/>
    </xf>
    <xf numFmtId="0" fontId="91" fillId="0" borderId="29" xfId="0" applyFont="1" applyBorder="1" applyAlignment="1">
      <alignment/>
    </xf>
    <xf numFmtId="43" fontId="92" fillId="0" borderId="12" xfId="0" applyNumberFormat="1" applyFont="1" applyBorder="1" applyAlignment="1">
      <alignment/>
    </xf>
    <xf numFmtId="0" fontId="118" fillId="0" borderId="13" xfId="0" applyFont="1" applyBorder="1" applyAlignment="1">
      <alignment horizontal="center"/>
    </xf>
    <xf numFmtId="0" fontId="96" fillId="0" borderId="10" xfId="0" applyFont="1" applyBorder="1" applyAlignment="1">
      <alignment vertical="center"/>
    </xf>
    <xf numFmtId="0" fontId="96" fillId="0" borderId="16" xfId="0" applyFont="1" applyBorder="1" applyAlignment="1">
      <alignment vertical="center"/>
    </xf>
    <xf numFmtId="0" fontId="119" fillId="0" borderId="0" xfId="0" applyFont="1" applyAlignment="1">
      <alignment/>
    </xf>
    <xf numFmtId="43" fontId="119" fillId="0" borderId="0" xfId="0" applyNumberFormat="1" applyFont="1" applyAlignment="1">
      <alignment/>
    </xf>
    <xf numFmtId="0" fontId="120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43" fontId="7" fillId="0" borderId="11" xfId="37" applyFont="1" applyBorder="1" applyAlignment="1">
      <alignment/>
    </xf>
    <xf numFmtId="43" fontId="7" fillId="0" borderId="11" xfId="37" applyFont="1" applyBorder="1" applyAlignment="1">
      <alignment horizontal="center"/>
    </xf>
    <xf numFmtId="0" fontId="121" fillId="0" borderId="0" xfId="0" applyFont="1" applyAlignment="1">
      <alignment/>
    </xf>
    <xf numFmtId="43" fontId="122" fillId="0" borderId="0" xfId="0" applyNumberFormat="1" applyFont="1" applyAlignment="1">
      <alignment/>
    </xf>
    <xf numFmtId="43" fontId="120" fillId="0" borderId="0" xfId="0" applyNumberFormat="1" applyFont="1" applyAlignment="1">
      <alignment/>
    </xf>
    <xf numFmtId="43" fontId="7" fillId="0" borderId="11" xfId="37" applyFont="1" applyBorder="1" applyAlignment="1">
      <alignment horizontal="right"/>
    </xf>
    <xf numFmtId="43" fontId="123" fillId="0" borderId="12" xfId="37" applyFont="1" applyBorder="1" applyAlignment="1">
      <alignment/>
    </xf>
    <xf numFmtId="43" fontId="123" fillId="0" borderId="12" xfId="37" applyFont="1" applyBorder="1" applyAlignment="1">
      <alignment horizontal="center"/>
    </xf>
    <xf numFmtId="200" fontId="7" fillId="0" borderId="11" xfId="37" applyNumberFormat="1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43" fontId="124" fillId="0" borderId="12" xfId="37" applyFont="1" applyBorder="1" applyAlignment="1">
      <alignment/>
    </xf>
    <xf numFmtId="0" fontId="124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3" fontId="125" fillId="0" borderId="12" xfId="37" applyFont="1" applyBorder="1" applyAlignment="1">
      <alignment/>
    </xf>
    <xf numFmtId="43" fontId="125" fillId="0" borderId="12" xfId="37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3" fontId="7" fillId="0" borderId="0" xfId="37" applyFont="1" applyAlignment="1">
      <alignment/>
    </xf>
    <xf numFmtId="43" fontId="7" fillId="0" borderId="30" xfId="37" applyFont="1" applyBorder="1" applyAlignment="1">
      <alignment/>
    </xf>
    <xf numFmtId="0" fontId="7" fillId="0" borderId="0" xfId="0" applyFont="1" applyBorder="1" applyAlignment="1">
      <alignment horizontal="right"/>
    </xf>
    <xf numFmtId="43" fontId="126" fillId="0" borderId="12" xfId="37" applyFont="1" applyBorder="1" applyAlignment="1">
      <alignment/>
    </xf>
    <xf numFmtId="43" fontId="127" fillId="0" borderId="37" xfId="37" applyFont="1" applyBorder="1" applyAlignment="1">
      <alignment/>
    </xf>
    <xf numFmtId="43" fontId="7" fillId="0" borderId="0" xfId="37" applyFont="1" applyAlignment="1">
      <alignment horizontal="right"/>
    </xf>
    <xf numFmtId="43" fontId="7" fillId="0" borderId="37" xfId="37" applyFont="1" applyBorder="1" applyAlignment="1">
      <alignment/>
    </xf>
    <xf numFmtId="0" fontId="7" fillId="0" borderId="0" xfId="0" applyFont="1" applyAlignment="1">
      <alignment/>
    </xf>
    <xf numFmtId="43" fontId="7" fillId="0" borderId="38" xfId="37" applyFont="1" applyBorder="1" applyAlignment="1">
      <alignment/>
    </xf>
    <xf numFmtId="0" fontId="7" fillId="0" borderId="30" xfId="0" applyFont="1" applyBorder="1" applyAlignment="1">
      <alignment/>
    </xf>
    <xf numFmtId="43" fontId="7" fillId="0" borderId="0" xfId="0" applyNumberFormat="1" applyFont="1" applyAlignment="1">
      <alignment/>
    </xf>
    <xf numFmtId="43" fontId="7" fillId="0" borderId="0" xfId="37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43" fontId="120" fillId="0" borderId="0" xfId="37" applyFont="1" applyAlignment="1">
      <alignment/>
    </xf>
    <xf numFmtId="43" fontId="13" fillId="0" borderId="35" xfId="37" applyFont="1" applyBorder="1" applyAlignment="1">
      <alignment horizontal="right" vertical="center"/>
    </xf>
    <xf numFmtId="43" fontId="92" fillId="0" borderId="11" xfId="0" applyNumberFormat="1" applyFont="1" applyBorder="1" applyAlignment="1">
      <alignment/>
    </xf>
    <xf numFmtId="43" fontId="99" fillId="0" borderId="19" xfId="37" applyFont="1" applyBorder="1" applyAlignment="1">
      <alignment horizontal="center" vertical="center" wrapText="1"/>
    </xf>
    <xf numFmtId="0" fontId="99" fillId="0" borderId="10" xfId="0" applyFont="1" applyBorder="1" applyAlignment="1">
      <alignment horizontal="center" vertical="center"/>
    </xf>
    <xf numFmtId="0" fontId="99" fillId="0" borderId="10" xfId="0" applyFont="1" applyBorder="1" applyAlignment="1">
      <alignment horizontal="center" vertical="center" wrapText="1"/>
    </xf>
    <xf numFmtId="0" fontId="99" fillId="0" borderId="14" xfId="0" applyFont="1" applyBorder="1" applyAlignment="1">
      <alignment horizontal="center" vertical="center" wrapText="1"/>
    </xf>
    <xf numFmtId="0" fontId="99" fillId="0" borderId="14" xfId="0" applyFont="1" applyBorder="1" applyAlignment="1">
      <alignment horizontal="center" vertical="center"/>
    </xf>
    <xf numFmtId="0" fontId="99" fillId="0" borderId="15" xfId="0" applyFont="1" applyBorder="1" applyAlignment="1">
      <alignment horizontal="center" vertical="center" wrapText="1"/>
    </xf>
    <xf numFmtId="0" fontId="117" fillId="0" borderId="10" xfId="0" applyFont="1" applyBorder="1" applyAlignment="1">
      <alignment horizontal="left" vertical="center"/>
    </xf>
    <xf numFmtId="43" fontId="99" fillId="0" borderId="15" xfId="37" applyFont="1" applyBorder="1" applyAlignment="1">
      <alignment vertical="center"/>
    </xf>
    <xf numFmtId="43" fontId="99" fillId="0" borderId="10" xfId="37" applyFont="1" applyBorder="1" applyAlignment="1">
      <alignment horizontal="center" vertical="center"/>
    </xf>
    <xf numFmtId="43" fontId="99" fillId="0" borderId="15" xfId="37" applyFont="1" applyBorder="1" applyAlignment="1">
      <alignment horizontal="center" vertical="center"/>
    </xf>
    <xf numFmtId="43" fontId="99" fillId="0" borderId="15" xfId="37" applyFont="1" applyBorder="1" applyAlignment="1">
      <alignment horizontal="center" vertical="center" wrapText="1"/>
    </xf>
    <xf numFmtId="43" fontId="98" fillId="0" borderId="17" xfId="37" applyFont="1" applyBorder="1" applyAlignment="1">
      <alignment vertical="center"/>
    </xf>
    <xf numFmtId="43" fontId="98" fillId="0" borderId="17" xfId="37" applyFont="1" applyBorder="1" applyAlignment="1">
      <alignment/>
    </xf>
    <xf numFmtId="43" fontId="99" fillId="0" borderId="11" xfId="37" applyFont="1" applyBorder="1" applyAlignment="1">
      <alignment horizontal="center" vertical="center"/>
    </xf>
    <xf numFmtId="43" fontId="99" fillId="0" borderId="17" xfId="37" applyFont="1" applyBorder="1" applyAlignment="1">
      <alignment horizontal="center" vertical="center" wrapText="1"/>
    </xf>
    <xf numFmtId="43" fontId="99" fillId="0" borderId="17" xfId="37" applyFont="1" applyBorder="1" applyAlignment="1">
      <alignment horizontal="center" vertical="center"/>
    </xf>
    <xf numFmtId="43" fontId="98" fillId="0" borderId="17" xfId="37" applyFont="1" applyBorder="1" applyAlignment="1">
      <alignment horizontal="center" vertical="center" wrapText="1"/>
    </xf>
    <xf numFmtId="43" fontId="98" fillId="0" borderId="11" xfId="37" applyFont="1" applyBorder="1" applyAlignment="1">
      <alignment/>
    </xf>
    <xf numFmtId="0" fontId="98" fillId="0" borderId="16" xfId="0" applyFont="1" applyBorder="1" applyAlignment="1">
      <alignment vertical="center"/>
    </xf>
    <xf numFmtId="43" fontId="98" fillId="0" borderId="16" xfId="37" applyFont="1" applyBorder="1" applyAlignment="1">
      <alignment vertical="center"/>
    </xf>
    <xf numFmtId="43" fontId="99" fillId="0" borderId="16" xfId="37" applyFont="1" applyBorder="1" applyAlignment="1">
      <alignment horizontal="center" vertical="center"/>
    </xf>
    <xf numFmtId="43" fontId="99" fillId="0" borderId="18" xfId="37" applyFont="1" applyBorder="1" applyAlignment="1">
      <alignment vertical="center"/>
    </xf>
    <xf numFmtId="0" fontId="117" fillId="0" borderId="10" xfId="0" applyFont="1" applyBorder="1" applyAlignment="1">
      <alignment vertical="center"/>
    </xf>
    <xf numFmtId="43" fontId="99" fillId="0" borderId="11" xfId="37" applyFont="1" applyBorder="1" applyAlignment="1">
      <alignment vertical="center"/>
    </xf>
    <xf numFmtId="43" fontId="99" fillId="0" borderId="11" xfId="37" applyFont="1" applyBorder="1" applyAlignment="1">
      <alignment horizontal="center" vertical="center" wrapText="1"/>
    </xf>
    <xf numFmtId="43" fontId="99" fillId="0" borderId="18" xfId="0" applyNumberFormat="1" applyFont="1" applyBorder="1" applyAlignment="1">
      <alignment/>
    </xf>
    <xf numFmtId="43" fontId="98" fillId="0" borderId="18" xfId="37" applyFont="1" applyBorder="1" applyAlignment="1">
      <alignment/>
    </xf>
    <xf numFmtId="43" fontId="98" fillId="0" borderId="22" xfId="0" applyNumberFormat="1" applyFont="1" applyBorder="1" applyAlignment="1">
      <alignment/>
    </xf>
    <xf numFmtId="43" fontId="98" fillId="0" borderId="23" xfId="0" applyNumberFormat="1" applyFont="1" applyBorder="1" applyAlignment="1">
      <alignment/>
    </xf>
    <xf numFmtId="43" fontId="98" fillId="0" borderId="20" xfId="0" applyNumberFormat="1" applyFont="1" applyBorder="1" applyAlignment="1">
      <alignment/>
    </xf>
    <xf numFmtId="43" fontId="9" fillId="0" borderId="17" xfId="37" applyFont="1" applyBorder="1" applyAlignment="1">
      <alignment horizontal="center" vertical="center" wrapText="1"/>
    </xf>
    <xf numFmtId="0" fontId="98" fillId="0" borderId="11" xfId="0" applyFont="1" applyBorder="1" applyAlignment="1">
      <alignment horizontal="center" vertical="center"/>
    </xf>
    <xf numFmtId="43" fontId="128" fillId="0" borderId="35" xfId="37" applyFont="1" applyBorder="1" applyAlignment="1">
      <alignment horizontal="center" vertical="center"/>
    </xf>
    <xf numFmtId="43" fontId="128" fillId="0" borderId="0" xfId="37" applyFont="1" applyBorder="1" applyAlignment="1">
      <alignment horizontal="right" vertical="center"/>
    </xf>
    <xf numFmtId="43" fontId="128" fillId="0" borderId="17" xfId="37" applyFont="1" applyBorder="1" applyAlignment="1">
      <alignment vertical="center"/>
    </xf>
    <xf numFmtId="43" fontId="129" fillId="0" borderId="21" xfId="37" applyFont="1" applyBorder="1" applyAlignment="1">
      <alignment horizontal="center" vertical="center"/>
    </xf>
    <xf numFmtId="43" fontId="111" fillId="0" borderId="0" xfId="37" applyFont="1" applyAlignment="1">
      <alignment horizontal="center"/>
    </xf>
    <xf numFmtId="0" fontId="130" fillId="0" borderId="11" xfId="0" applyFont="1" applyBorder="1" applyAlignment="1">
      <alignment vertical="center"/>
    </xf>
    <xf numFmtId="0" fontId="115" fillId="0" borderId="11" xfId="0" applyFont="1" applyBorder="1" applyAlignment="1">
      <alignment/>
    </xf>
    <xf numFmtId="43" fontId="115" fillId="0" borderId="11" xfId="37" applyFont="1" applyBorder="1" applyAlignment="1">
      <alignment/>
    </xf>
    <xf numFmtId="43" fontId="97" fillId="0" borderId="11" xfId="37" applyFont="1" applyBorder="1" applyAlignment="1">
      <alignment/>
    </xf>
    <xf numFmtId="0" fontId="9" fillId="0" borderId="0" xfId="0" applyNumberFormat="1" applyFont="1" applyAlignment="1">
      <alignment horizontal="center" wrapText="1"/>
    </xf>
    <xf numFmtId="43" fontId="9" fillId="0" borderId="21" xfId="37" applyFont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91" fillId="0" borderId="0" xfId="0" applyFont="1" applyFill="1" applyBorder="1" applyAlignment="1">
      <alignment horizontal="center" vertical="center"/>
    </xf>
    <xf numFmtId="0" fontId="115" fillId="0" borderId="11" xfId="0" applyFont="1" applyBorder="1" applyAlignment="1">
      <alignment vertical="center"/>
    </xf>
    <xf numFmtId="0" fontId="115" fillId="0" borderId="27" xfId="0" applyFont="1" applyBorder="1" applyAlignment="1">
      <alignment horizontal="left" indent="1"/>
    </xf>
    <xf numFmtId="0" fontId="106" fillId="0" borderId="11" xfId="0" applyFont="1" applyBorder="1" applyAlignment="1">
      <alignment/>
    </xf>
    <xf numFmtId="43" fontId="106" fillId="0" borderId="17" xfId="37" applyFont="1" applyBorder="1" applyAlignment="1">
      <alignment horizontal="left" vertical="center" wrapText="1"/>
    </xf>
    <xf numFmtId="43" fontId="106" fillId="0" borderId="17" xfId="37" applyFont="1" applyBorder="1" applyAlignment="1">
      <alignment horizontal="left" vertical="center"/>
    </xf>
    <xf numFmtId="43" fontId="106" fillId="0" borderId="11" xfId="37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9" xfId="0" applyFont="1" applyBorder="1" applyAlignment="1">
      <alignment horizontal="center"/>
    </xf>
    <xf numFmtId="0" fontId="111" fillId="0" borderId="39" xfId="0" applyFont="1" applyBorder="1" applyAlignment="1">
      <alignment horizontal="center"/>
    </xf>
    <xf numFmtId="0" fontId="111" fillId="0" borderId="14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5" fillId="0" borderId="29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 quotePrefix="1">
      <alignment horizontal="center" vertical="center" wrapText="1"/>
    </xf>
    <xf numFmtId="43" fontId="2" fillId="0" borderId="11" xfId="37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24" xfId="0" applyFont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92" fillId="0" borderId="0" xfId="0" applyFont="1" applyBorder="1" applyAlignment="1">
      <alignment horizontal="center" vertical="center"/>
    </xf>
    <xf numFmtId="0" fontId="91" fillId="0" borderId="0" xfId="0" applyFont="1" applyBorder="1" applyAlignment="1">
      <alignment horizontal="center" vertical="center"/>
    </xf>
    <xf numFmtId="0" fontId="101" fillId="0" borderId="0" xfId="0" applyFont="1" applyBorder="1" applyAlignment="1">
      <alignment horizontal="center" vertical="center"/>
    </xf>
    <xf numFmtId="0" fontId="10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horizontal="center" vertical="center"/>
    </xf>
    <xf numFmtId="0" fontId="92" fillId="0" borderId="39" xfId="0" applyFont="1" applyFill="1" applyBorder="1" applyAlignment="1">
      <alignment horizontal="center" vertical="center"/>
    </xf>
    <xf numFmtId="0" fontId="92" fillId="0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  <protection/>
    </xf>
    <xf numFmtId="0" fontId="92" fillId="0" borderId="0" xfId="0" applyFont="1" applyFill="1" applyBorder="1" applyAlignment="1">
      <alignment horizontal="center" vertical="center"/>
    </xf>
    <xf numFmtId="0" fontId="92" fillId="0" borderId="13" xfId="0" applyFont="1" applyFill="1" applyBorder="1" applyAlignment="1">
      <alignment horizontal="center" vertical="center"/>
    </xf>
    <xf numFmtId="0" fontId="92" fillId="0" borderId="31" xfId="0" applyFont="1" applyFill="1" applyBorder="1" applyAlignment="1">
      <alignment horizontal="center" vertical="center"/>
    </xf>
    <xf numFmtId="0" fontId="92" fillId="0" borderId="15" xfId="0" applyFont="1" applyFill="1" applyBorder="1" applyAlignment="1">
      <alignment horizontal="center" vertical="center"/>
    </xf>
    <xf numFmtId="0" fontId="92" fillId="0" borderId="35" xfId="0" applyFont="1" applyFill="1" applyBorder="1" applyAlignment="1">
      <alignment horizontal="center" vertical="center"/>
    </xf>
    <xf numFmtId="0" fontId="92" fillId="0" borderId="36" xfId="0" applyFont="1" applyFill="1" applyBorder="1" applyAlignment="1">
      <alignment horizontal="center" vertical="center"/>
    </xf>
    <xf numFmtId="0" fontId="91" fillId="0" borderId="0" xfId="0" applyFont="1" applyAlignment="1">
      <alignment horizontal="center"/>
    </xf>
    <xf numFmtId="43" fontId="91" fillId="0" borderId="13" xfId="37" applyFont="1" applyBorder="1" applyAlignment="1">
      <alignment horizontal="center"/>
    </xf>
    <xf numFmtId="43" fontId="92" fillId="0" borderId="13" xfId="37" applyFont="1" applyBorder="1" applyAlignment="1">
      <alignment horizontal="center"/>
    </xf>
    <xf numFmtId="0" fontId="92" fillId="0" borderId="13" xfId="0" applyFont="1" applyBorder="1" applyAlignment="1">
      <alignment horizontal="center"/>
    </xf>
    <xf numFmtId="0" fontId="92" fillId="0" borderId="0" xfId="0" applyFont="1" applyAlignment="1">
      <alignment horizontal="center"/>
    </xf>
    <xf numFmtId="0" fontId="92" fillId="0" borderId="39" xfId="0" applyFont="1" applyBorder="1" applyAlignment="1">
      <alignment horizontal="center"/>
    </xf>
    <xf numFmtId="0" fontId="92" fillId="0" borderId="24" xfId="0" applyFont="1" applyBorder="1" applyAlignment="1">
      <alignment horizontal="center"/>
    </xf>
    <xf numFmtId="0" fontId="91" fillId="0" borderId="13" xfId="0" applyFont="1" applyBorder="1" applyAlignment="1">
      <alignment horizontal="center"/>
    </xf>
    <xf numFmtId="0" fontId="92" fillId="0" borderId="13" xfId="0" applyFont="1" applyBorder="1" applyAlignment="1">
      <alignment horizontal="center" vertical="center"/>
    </xf>
    <xf numFmtId="49" fontId="92" fillId="0" borderId="13" xfId="0" applyNumberFormat="1" applyFont="1" applyBorder="1" applyAlignment="1">
      <alignment horizontal="center"/>
    </xf>
    <xf numFmtId="43" fontId="91" fillId="0" borderId="16" xfId="37" applyFont="1" applyBorder="1" applyAlignment="1">
      <alignment horizontal="center"/>
    </xf>
    <xf numFmtId="43" fontId="91" fillId="0" borderId="39" xfId="37" applyFont="1" applyBorder="1" applyAlignment="1">
      <alignment horizontal="center"/>
    </xf>
    <xf numFmtId="43" fontId="91" fillId="0" borderId="24" xfId="37" applyFont="1" applyBorder="1" applyAlignment="1">
      <alignment horizontal="center"/>
    </xf>
    <xf numFmtId="43" fontId="91" fillId="0" borderId="14" xfId="37" applyFont="1" applyBorder="1" applyAlignment="1">
      <alignment horizontal="center"/>
    </xf>
    <xf numFmtId="49" fontId="92" fillId="0" borderId="13" xfId="37" applyNumberFormat="1" applyFont="1" applyBorder="1" applyAlignment="1">
      <alignment horizontal="center"/>
    </xf>
    <xf numFmtId="0" fontId="99" fillId="0" borderId="39" xfId="0" applyFont="1" applyBorder="1" applyAlignment="1">
      <alignment horizontal="center"/>
    </xf>
    <xf numFmtId="0" fontId="99" fillId="0" borderId="24" xfId="0" applyFont="1" applyBorder="1" applyAlignment="1">
      <alignment horizontal="center"/>
    </xf>
    <xf numFmtId="0" fontId="99" fillId="0" borderId="14" xfId="0" applyFont="1" applyBorder="1" applyAlignment="1">
      <alignment horizontal="center"/>
    </xf>
    <xf numFmtId="0" fontId="99" fillId="0" borderId="0" xfId="0" applyFont="1" applyAlignment="1">
      <alignment horizontal="center"/>
    </xf>
    <xf numFmtId="0" fontId="9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43" fontId="2" fillId="0" borderId="13" xfId="37" applyFont="1" applyBorder="1" applyAlignment="1">
      <alignment horizontal="center" vertical="center"/>
    </xf>
    <xf numFmtId="0" fontId="98" fillId="0" borderId="0" xfId="0" applyFont="1" applyAlignment="1">
      <alignment horizontal="center"/>
    </xf>
    <xf numFmtId="0" fontId="5" fillId="0" borderId="3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99" fillId="0" borderId="10" xfId="0" applyFont="1" applyBorder="1" applyAlignment="1">
      <alignment horizontal="center"/>
    </xf>
    <xf numFmtId="0" fontId="93" fillId="0" borderId="13" xfId="0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 vertical="center"/>
      <protection/>
    </xf>
    <xf numFmtId="0" fontId="93" fillId="0" borderId="13" xfId="0" applyFont="1" applyBorder="1" applyAlignment="1">
      <alignment horizontal="center" vertical="center"/>
    </xf>
    <xf numFmtId="0" fontId="93" fillId="0" borderId="0" xfId="0" applyFont="1" applyAlignment="1">
      <alignment horizontal="center"/>
    </xf>
    <xf numFmtId="0" fontId="90" fillId="0" borderId="1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0" fillId="0" borderId="0" xfId="0" applyFont="1" applyAlignment="1">
      <alignment horizontal="center"/>
    </xf>
    <xf numFmtId="0" fontId="92" fillId="0" borderId="10" xfId="0" applyFont="1" applyBorder="1" applyAlignment="1">
      <alignment horizontal="center" vertical="center"/>
    </xf>
    <xf numFmtId="0" fontId="92" fillId="0" borderId="16" xfId="0" applyFont="1" applyBorder="1" applyAlignment="1">
      <alignment horizontal="center" vertical="center"/>
    </xf>
    <xf numFmtId="0" fontId="92" fillId="0" borderId="29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เครื่องหมายจุลภาค 2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externalLink" Target="externalLinks/externalLink1.xml" /><Relationship Id="rId4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3</xdr:row>
      <xdr:rowOff>0</xdr:rowOff>
    </xdr:from>
    <xdr:to>
      <xdr:col>4</xdr:col>
      <xdr:colOff>0</xdr:colOff>
      <xdr:row>4</xdr:row>
      <xdr:rowOff>0</xdr:rowOff>
    </xdr:to>
    <xdr:sp>
      <xdr:nvSpPr>
        <xdr:cNvPr id="1" name="Flowchart: Data 1"/>
        <xdr:cNvSpPr>
          <a:spLocks/>
        </xdr:cNvSpPr>
      </xdr:nvSpPr>
      <xdr:spPr>
        <a:xfrm>
          <a:off x="1171575" y="714375"/>
          <a:ext cx="2400300" cy="238125"/>
        </a:xfrm>
        <a:prstGeom prst="flowChartInputOutpu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591;&#3610;&#3611;&#3637;%202560%20&#3649;&#3610;&#3610;&#3651;&#3627;&#3617;&#365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งบทดลองก่อน+หลังปิดบัญชี"/>
      <sheetName val="หมายเหตุงบทดลอง ก่อน+หลังปิด"/>
      <sheetName val="รับจ่าย"/>
      <sheetName val="หมายเหตุรับ - จ่าย"/>
      <sheetName val="งบแสดงฐานะ"/>
      <sheetName val="รายละเอียดลูกหนี้เศรษฐกิจชุมชน"/>
      <sheetName val="2"/>
      <sheetName val="3-4"/>
      <sheetName val="5-9"/>
      <sheetName val="10-11"/>
      <sheetName val="12 13 15"/>
      <sheetName val="14"/>
      <sheetName val="16"/>
      <sheetName val="16."/>
      <sheetName val="17"/>
      <sheetName val="18"/>
      <sheetName val="บริหาร"/>
      <sheetName val="รักษาสงบ"/>
      <sheetName val="ศึกษา"/>
      <sheetName val="สาธา"/>
      <sheetName val="สงเคราะห์"/>
      <sheetName val="เคหะชุมชน"/>
      <sheetName val="ความเข้มแข็ง"/>
      <sheetName val="ศาสนา"/>
      <sheetName val="เกษตร"/>
      <sheetName val="งบกลาง"/>
      <sheetName val="รวมแผนงาน"/>
      <sheetName val="รวมแผนงาน(สะสม)"/>
      <sheetName val="รวมแผนงาน(ทุนสำรอง)"/>
      <sheetName val="รวมแผนงาน(เงินกู้)"/>
      <sheetName val="งบแสดงผลจ่ายรวม"/>
      <sheetName val="งบแสดงผลจ่ายรวม รับ+สะสม"/>
      <sheetName val="ค่าที่ดินรายรับ+เงินสะสม"/>
      <sheetName val="งบแสดงผลจ่ายรวม สะสม+ทุนสำรอง"/>
      <sheetName val="งบแสดงผลจ่ายรวม ทุนสำรอง+ง.กู้"/>
      <sheetName val="ใบผ่าน"/>
      <sheetName val="รับจ่ายเงินสด"/>
      <sheetName val="Sheet1"/>
    </sheetNames>
    <sheetDataSet>
      <sheetData sheetId="1">
        <row r="71">
          <cell r="H71">
            <v>0</v>
          </cell>
        </row>
        <row r="74">
          <cell r="H7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1"/>
  <sheetViews>
    <sheetView view="pageBreakPreview" zoomScale="60" zoomScalePageLayoutView="0" workbookViewId="0" topLeftCell="A77">
      <selection activeCell="C11" sqref="C11"/>
    </sheetView>
  </sheetViews>
  <sheetFormatPr defaultColWidth="9.140625" defaultRowHeight="15"/>
  <cols>
    <col min="1" max="1" width="44.00390625" style="0" customWidth="1"/>
    <col min="2" max="2" width="11.140625" style="0" customWidth="1"/>
    <col min="3" max="3" width="17.421875" style="0" customWidth="1"/>
    <col min="4" max="4" width="17.00390625" style="0" customWidth="1"/>
    <col min="5" max="5" width="10.8515625" style="0" bestFit="1" customWidth="1"/>
    <col min="6" max="6" width="13.7109375" style="0" customWidth="1"/>
  </cols>
  <sheetData>
    <row r="1" spans="1:4" s="55" customFormat="1" ht="21">
      <c r="A1" s="559" t="s">
        <v>303</v>
      </c>
      <c r="B1" s="559"/>
      <c r="C1" s="559"/>
      <c r="D1" s="559"/>
    </row>
    <row r="2" spans="1:4" s="55" customFormat="1" ht="21">
      <c r="A2" s="559" t="s">
        <v>304</v>
      </c>
      <c r="B2" s="559"/>
      <c r="C2" s="559"/>
      <c r="D2" s="559"/>
    </row>
    <row r="3" spans="1:4" s="55" customFormat="1" ht="21">
      <c r="A3" s="560" t="s">
        <v>345</v>
      </c>
      <c r="B3" s="560"/>
      <c r="C3" s="560"/>
      <c r="D3" s="560"/>
    </row>
    <row r="4" spans="1:4" s="55" customFormat="1" ht="21">
      <c r="A4" s="260" t="s">
        <v>31</v>
      </c>
      <c r="B4" s="261" t="s">
        <v>305</v>
      </c>
      <c r="C4" s="260" t="s">
        <v>306</v>
      </c>
      <c r="D4" s="260" t="s">
        <v>307</v>
      </c>
    </row>
    <row r="5" spans="1:4" s="55" customFormat="1" ht="21">
      <c r="A5" s="262" t="s">
        <v>67</v>
      </c>
      <c r="B5" s="263">
        <v>11011000</v>
      </c>
      <c r="C5" s="264">
        <f>799802.79-7000-792802.79</f>
        <v>0</v>
      </c>
      <c r="D5" s="264"/>
    </row>
    <row r="6" spans="1:4" s="55" customFormat="1" ht="21">
      <c r="A6" s="265" t="s">
        <v>308</v>
      </c>
      <c r="B6" s="266">
        <v>11012001</v>
      </c>
      <c r="C6" s="267">
        <v>558145.51</v>
      </c>
      <c r="D6" s="264"/>
    </row>
    <row r="7" spans="1:4" s="55" customFormat="1" ht="21">
      <c r="A7" s="265" t="s">
        <v>309</v>
      </c>
      <c r="B7" s="266">
        <v>11012001</v>
      </c>
      <c r="C7" s="269">
        <v>4300250.53</v>
      </c>
      <c r="D7" s="264"/>
    </row>
    <row r="8" spans="1:4" s="55" customFormat="1" ht="21">
      <c r="A8" s="265" t="s">
        <v>310</v>
      </c>
      <c r="B8" s="266">
        <v>11012001</v>
      </c>
      <c r="C8" s="269">
        <v>7400764.85</v>
      </c>
      <c r="D8" s="264"/>
    </row>
    <row r="9" spans="1:4" s="55" customFormat="1" ht="21">
      <c r="A9" s="265" t="s">
        <v>311</v>
      </c>
      <c r="B9" s="266">
        <v>11012001</v>
      </c>
      <c r="C9" s="269">
        <v>5154890.33</v>
      </c>
      <c r="D9" s="264"/>
    </row>
    <row r="10" spans="1:4" s="55" customFormat="1" ht="21">
      <c r="A10" s="265" t="s">
        <v>312</v>
      </c>
      <c r="B10" s="263">
        <v>11012004</v>
      </c>
      <c r="C10" s="264">
        <v>0</v>
      </c>
      <c r="D10" s="264"/>
    </row>
    <row r="11" spans="1:4" s="55" customFormat="1" ht="21">
      <c r="A11" s="265" t="s">
        <v>313</v>
      </c>
      <c r="B11" s="263">
        <v>11012004</v>
      </c>
      <c r="C11" s="264">
        <v>0</v>
      </c>
      <c r="D11" s="264"/>
    </row>
    <row r="12" spans="1:4" s="55" customFormat="1" ht="21">
      <c r="A12" s="265" t="s">
        <v>314</v>
      </c>
      <c r="B12" s="263">
        <v>11012002</v>
      </c>
      <c r="C12" s="264">
        <v>255689.33</v>
      </c>
      <c r="D12" s="264"/>
    </row>
    <row r="13" spans="1:4" s="55" customFormat="1" ht="21">
      <c r="A13" s="265" t="s">
        <v>315</v>
      </c>
      <c r="B13" s="263">
        <v>11012002</v>
      </c>
      <c r="C13" s="264">
        <v>1254756.82</v>
      </c>
      <c r="D13" s="264"/>
    </row>
    <row r="14" spans="1:4" s="55" customFormat="1" ht="21">
      <c r="A14" s="265" t="s">
        <v>316</v>
      </c>
      <c r="B14" s="263">
        <v>11012002</v>
      </c>
      <c r="C14" s="264">
        <v>251238.47</v>
      </c>
      <c r="D14" s="264"/>
    </row>
    <row r="15" spans="1:4" s="55" customFormat="1" ht="21">
      <c r="A15" s="262" t="s">
        <v>317</v>
      </c>
      <c r="B15" s="263">
        <v>11043001</v>
      </c>
      <c r="C15" s="270">
        <v>8923</v>
      </c>
      <c r="D15" s="264"/>
    </row>
    <row r="16" spans="1:4" s="55" customFormat="1" ht="21">
      <c r="A16" s="262" t="s">
        <v>318</v>
      </c>
      <c r="B16" s="263">
        <v>11043002</v>
      </c>
      <c r="C16" s="270">
        <v>456.84</v>
      </c>
      <c r="D16" s="264"/>
    </row>
    <row r="17" spans="1:4" s="55" customFormat="1" ht="21">
      <c r="A17" s="262" t="s">
        <v>319</v>
      </c>
      <c r="B17" s="263">
        <v>11043003</v>
      </c>
      <c r="C17" s="270">
        <v>23711</v>
      </c>
      <c r="D17" s="264"/>
    </row>
    <row r="18" spans="1:4" s="55" customFormat="1" ht="21">
      <c r="A18" s="262" t="s">
        <v>320</v>
      </c>
      <c r="B18" s="263">
        <v>11045000</v>
      </c>
      <c r="C18" s="270">
        <v>525178</v>
      </c>
      <c r="D18" s="264"/>
    </row>
    <row r="19" spans="1:4" s="55" customFormat="1" ht="21">
      <c r="A19" s="262" t="s">
        <v>321</v>
      </c>
      <c r="B19" s="263">
        <v>11041000</v>
      </c>
      <c r="C19" s="270">
        <f>-3400-374410+377810+327700-648900+351620-4400-2500-3100-344620+324200-3600-318600+475800-2700-549028+445456-3200-800-385948+342620-2500-2400-317300+324600-1900-315400+318500-4000-1600-327406+343648-1300-330016+330074-1300+316400-328100</f>
        <v>0</v>
      </c>
      <c r="D19" s="264"/>
    </row>
    <row r="20" spans="1:4" s="55" customFormat="1" ht="21">
      <c r="A20" s="262" t="s">
        <v>55</v>
      </c>
      <c r="B20" s="263">
        <v>11042000</v>
      </c>
      <c r="C20" s="270">
        <v>209600</v>
      </c>
      <c r="D20" s="264"/>
    </row>
    <row r="21" spans="1:4" s="55" customFormat="1" ht="21" hidden="1">
      <c r="A21" s="271" t="s">
        <v>323</v>
      </c>
      <c r="B21" s="263">
        <v>110604</v>
      </c>
      <c r="C21" s="270">
        <f>600-600-318900+257400+64800-3300-319900+319900+316500-249100-40800-23200-3400+800-800+310100-533600-1300+231200-6400</f>
        <v>0</v>
      </c>
      <c r="D21" s="264"/>
    </row>
    <row r="22" spans="1:4" s="55" customFormat="1" ht="21" hidden="1">
      <c r="A22" s="262" t="s">
        <v>324</v>
      </c>
      <c r="B22" s="263"/>
      <c r="C22" s="270">
        <f>1563-1563</f>
        <v>0</v>
      </c>
      <c r="D22" s="264"/>
    </row>
    <row r="23" spans="1:4" s="55" customFormat="1" ht="21">
      <c r="A23" s="262" t="s">
        <v>460</v>
      </c>
      <c r="B23" s="263">
        <v>44100001</v>
      </c>
      <c r="C23" s="270"/>
      <c r="D23" s="264">
        <v>3646763.24</v>
      </c>
    </row>
    <row r="24" spans="1:4" s="55" customFormat="1" ht="21">
      <c r="A24" s="262" t="s">
        <v>325</v>
      </c>
      <c r="B24" s="263">
        <v>40000000</v>
      </c>
      <c r="C24" s="270"/>
      <c r="D24" s="264">
        <v>25701909.88</v>
      </c>
    </row>
    <row r="25" spans="1:4" s="55" customFormat="1" ht="21">
      <c r="A25" s="272" t="s">
        <v>326</v>
      </c>
      <c r="B25" s="263">
        <v>21010000</v>
      </c>
      <c r="C25" s="270"/>
      <c r="D25" s="264">
        <f>+'[1]หมายเหตุงบทดลอง ก่อน+หลังปิด'!H71</f>
        <v>0</v>
      </c>
    </row>
    <row r="26" spans="1:4" s="55" customFormat="1" ht="21">
      <c r="A26" s="273" t="s">
        <v>327</v>
      </c>
      <c r="B26" s="263">
        <v>21040000</v>
      </c>
      <c r="C26" s="270"/>
      <c r="D26" s="264">
        <f>+'[1]หมายเหตุงบทดลอง ก่อน+หลังปิด'!H74</f>
        <v>0</v>
      </c>
    </row>
    <row r="27" spans="1:4" s="55" customFormat="1" ht="21">
      <c r="A27" s="273" t="s">
        <v>328</v>
      </c>
      <c r="B27" s="263">
        <v>21010001</v>
      </c>
      <c r="C27" s="270"/>
      <c r="D27" s="264">
        <f>+'หมายเหตงบทดลองก่อนปิด-หลังปิด'!H15</f>
        <v>1038480</v>
      </c>
    </row>
    <row r="28" spans="1:4" s="55" customFormat="1" ht="21">
      <c r="A28" s="273" t="s">
        <v>329</v>
      </c>
      <c r="B28" s="263">
        <v>21040000</v>
      </c>
      <c r="C28" s="270"/>
      <c r="D28" s="264">
        <f>+'หมายเหตงบทดลองก่อนปิด-หลังปิด'!H30</f>
        <v>1772318.25</v>
      </c>
    </row>
    <row r="29" spans="1:4" s="55" customFormat="1" ht="21">
      <c r="A29" s="273" t="s">
        <v>330</v>
      </c>
      <c r="B29" s="263">
        <v>21040014</v>
      </c>
      <c r="C29" s="270"/>
      <c r="D29" s="264">
        <f>+'หมายเหตงบทดลองก่อนปิด-หลังปิด'!H44</f>
        <v>166380</v>
      </c>
    </row>
    <row r="30" spans="1:4" s="55" customFormat="1" ht="21">
      <c r="A30" s="262" t="s">
        <v>331</v>
      </c>
      <c r="B30" s="263">
        <v>21020000</v>
      </c>
      <c r="C30" s="264"/>
      <c r="D30" s="264">
        <v>0</v>
      </c>
    </row>
    <row r="31" spans="1:4" s="55" customFormat="1" ht="21">
      <c r="A31" s="262" t="s">
        <v>332</v>
      </c>
      <c r="B31" s="263">
        <v>22010000</v>
      </c>
      <c r="C31" s="264"/>
      <c r="D31" s="264">
        <v>0</v>
      </c>
    </row>
    <row r="32" spans="1:4" s="55" customFormat="1" ht="21">
      <c r="A32" s="262" t="s">
        <v>52</v>
      </c>
      <c r="B32" s="263">
        <v>31000000</v>
      </c>
      <c r="C32" s="264"/>
      <c r="D32" s="264">
        <v>6178345.15</v>
      </c>
    </row>
    <row r="33" spans="1:4" s="55" customFormat="1" ht="21">
      <c r="A33" s="262" t="s">
        <v>22</v>
      </c>
      <c r="B33" s="263">
        <v>32000000</v>
      </c>
      <c r="C33" s="264"/>
      <c r="D33" s="264">
        <v>8502734.59</v>
      </c>
    </row>
    <row r="34" spans="1:4" s="55" customFormat="1" ht="21">
      <c r="A34" s="262" t="s">
        <v>49</v>
      </c>
      <c r="B34" s="263">
        <v>51100000</v>
      </c>
      <c r="C34" s="264">
        <v>4545228</v>
      </c>
      <c r="D34" s="264"/>
    </row>
    <row r="35" spans="1:4" s="55" customFormat="1" ht="21">
      <c r="A35" s="262" t="s">
        <v>279</v>
      </c>
      <c r="B35" s="263">
        <v>52100000</v>
      </c>
      <c r="C35" s="264">
        <v>2191981</v>
      </c>
      <c r="D35" s="264"/>
    </row>
    <row r="36" spans="1:4" s="55" customFormat="1" ht="21">
      <c r="A36" s="262" t="s">
        <v>280</v>
      </c>
      <c r="B36" s="266">
        <v>52200000</v>
      </c>
      <c r="C36" s="264">
        <v>7451405</v>
      </c>
      <c r="D36" s="264"/>
    </row>
    <row r="37" spans="1:4" s="274" customFormat="1" ht="21">
      <c r="A37" s="276"/>
      <c r="B37" s="277" t="s">
        <v>334</v>
      </c>
      <c r="C37" s="278"/>
      <c r="D37" s="278"/>
    </row>
    <row r="38" spans="1:4" s="55" customFormat="1" ht="21">
      <c r="A38" s="279" t="s">
        <v>31</v>
      </c>
      <c r="B38" s="259" t="s">
        <v>305</v>
      </c>
      <c r="C38" s="279" t="s">
        <v>306</v>
      </c>
      <c r="D38" s="279" t="s">
        <v>307</v>
      </c>
    </row>
    <row r="39" spans="1:4" s="55" customFormat="1" ht="21">
      <c r="A39" s="262" t="s">
        <v>45</v>
      </c>
      <c r="B39" s="280">
        <v>53100000</v>
      </c>
      <c r="C39" s="264">
        <v>699330</v>
      </c>
      <c r="D39" s="264"/>
    </row>
    <row r="40" spans="1:4" s="55" customFormat="1" ht="21">
      <c r="A40" s="262" t="s">
        <v>46</v>
      </c>
      <c r="B40" s="280">
        <v>53200000</v>
      </c>
      <c r="C40" s="264">
        <v>3210955.93</v>
      </c>
      <c r="D40" s="264"/>
    </row>
    <row r="41" spans="1:4" s="55" customFormat="1" ht="21">
      <c r="A41" s="262" t="s">
        <v>47</v>
      </c>
      <c r="B41" s="280">
        <v>53300000</v>
      </c>
      <c r="C41" s="264">
        <v>1297686.97</v>
      </c>
      <c r="D41" s="264"/>
    </row>
    <row r="42" spans="1:4" s="55" customFormat="1" ht="21">
      <c r="A42" s="262" t="s">
        <v>335</v>
      </c>
      <c r="B42" s="280">
        <v>53400000</v>
      </c>
      <c r="C42" s="264">
        <v>298662.48</v>
      </c>
      <c r="D42" s="264"/>
    </row>
    <row r="43" spans="1:4" s="55" customFormat="1" ht="21">
      <c r="A43" s="262" t="s">
        <v>336</v>
      </c>
      <c r="B43" s="280">
        <v>54100000</v>
      </c>
      <c r="C43" s="264">
        <v>85800</v>
      </c>
      <c r="D43" s="264"/>
    </row>
    <row r="44" spans="1:4" s="55" customFormat="1" ht="21">
      <c r="A44" s="262" t="s">
        <v>461</v>
      </c>
      <c r="B44" s="281">
        <v>54200000</v>
      </c>
      <c r="C44" s="264">
        <v>3646763.24</v>
      </c>
      <c r="D44" s="264"/>
    </row>
    <row r="45" spans="1:4" s="55" customFormat="1" ht="21">
      <c r="A45" s="262" t="s">
        <v>337</v>
      </c>
      <c r="B45" s="281">
        <v>54200000</v>
      </c>
      <c r="C45" s="264">
        <v>2413000</v>
      </c>
      <c r="D45" s="264"/>
    </row>
    <row r="46" spans="1:4" s="55" customFormat="1" ht="21">
      <c r="A46" s="262" t="s">
        <v>28</v>
      </c>
      <c r="B46" s="280">
        <v>56100000</v>
      </c>
      <c r="C46" s="264">
        <v>1204513.81</v>
      </c>
      <c r="D46" s="264"/>
    </row>
    <row r="47" spans="1:4" s="55" customFormat="1" ht="21">
      <c r="A47" s="262" t="s">
        <v>48</v>
      </c>
      <c r="B47" s="281">
        <v>55100000</v>
      </c>
      <c r="C47" s="264">
        <v>18000</v>
      </c>
      <c r="D47" s="264"/>
    </row>
    <row r="48" spans="1:4" s="286" customFormat="1" ht="18.75">
      <c r="A48" s="282" t="s">
        <v>68</v>
      </c>
      <c r="B48" s="283"/>
      <c r="C48" s="284">
        <f>SUM(C5:C47)</f>
        <v>47006931.10999999</v>
      </c>
      <c r="D48" s="284">
        <f>SUM(D5:D47)</f>
        <v>47006931.11</v>
      </c>
    </row>
    <row r="49" spans="2:4" s="55" customFormat="1" ht="21">
      <c r="B49" s="274"/>
      <c r="C49" s="287"/>
      <c r="D49" s="287"/>
    </row>
    <row r="50" spans="2:4" s="55" customFormat="1" ht="21">
      <c r="B50" s="274"/>
      <c r="C50" s="287"/>
      <c r="D50" s="287"/>
    </row>
    <row r="51" spans="1:4" s="55" customFormat="1" ht="21">
      <c r="A51" s="288"/>
      <c r="B51" s="288"/>
      <c r="C51" s="289"/>
      <c r="D51" s="288"/>
    </row>
    <row r="52" spans="1:4" s="55" customFormat="1" ht="21">
      <c r="A52" s="288"/>
      <c r="B52" s="288"/>
      <c r="C52" s="288"/>
      <c r="D52" s="288"/>
    </row>
    <row r="53" spans="1:4" s="55" customFormat="1" ht="21">
      <c r="A53" s="288"/>
      <c r="B53" s="288"/>
      <c r="C53" s="288"/>
      <c r="D53" s="288"/>
    </row>
    <row r="54" spans="1:4" s="55" customFormat="1" ht="21">
      <c r="A54" s="288"/>
      <c r="B54" s="288"/>
      <c r="C54" s="288"/>
      <c r="D54" s="288"/>
    </row>
    <row r="55" spans="1:4" s="55" customFormat="1" ht="21">
      <c r="A55" s="288" t="s">
        <v>338</v>
      </c>
      <c r="B55" s="558" t="s">
        <v>339</v>
      </c>
      <c r="C55" s="558"/>
      <c r="D55" s="558"/>
    </row>
    <row r="56" spans="1:4" s="55" customFormat="1" ht="21">
      <c r="A56" s="288" t="s">
        <v>340</v>
      </c>
      <c r="B56" s="558" t="s">
        <v>341</v>
      </c>
      <c r="C56" s="558"/>
      <c r="D56" s="558"/>
    </row>
    <row r="57" spans="1:4" s="55" customFormat="1" ht="21">
      <c r="A57" s="288"/>
      <c r="B57" s="288"/>
      <c r="C57" s="288"/>
      <c r="D57" s="288"/>
    </row>
    <row r="58" spans="1:4" s="55" customFormat="1" ht="21">
      <c r="A58" s="288"/>
      <c r="B58" s="288"/>
      <c r="C58" s="288"/>
      <c r="D58" s="288"/>
    </row>
    <row r="59" spans="1:4" s="55" customFormat="1" ht="21">
      <c r="A59" s="288"/>
      <c r="B59" s="288"/>
      <c r="C59" s="288"/>
      <c r="D59" s="288"/>
    </row>
    <row r="60" spans="1:4" s="55" customFormat="1" ht="21">
      <c r="A60" s="558" t="s">
        <v>342</v>
      </c>
      <c r="B60" s="558"/>
      <c r="C60" s="558"/>
      <c r="D60" s="558"/>
    </row>
    <row r="61" spans="1:4" s="55" customFormat="1" ht="21">
      <c r="A61" s="558" t="s">
        <v>343</v>
      </c>
      <c r="B61" s="558"/>
      <c r="C61" s="558"/>
      <c r="D61" s="558"/>
    </row>
    <row r="62" spans="1:4" s="55" customFormat="1" ht="21">
      <c r="A62" s="288"/>
      <c r="B62" s="288"/>
      <c r="C62" s="288"/>
      <c r="D62" s="288"/>
    </row>
    <row r="63" spans="1:4" s="55" customFormat="1" ht="21">
      <c r="A63" s="288"/>
      <c r="B63" s="288"/>
      <c r="C63" s="288"/>
      <c r="D63" s="288"/>
    </row>
    <row r="64" spans="1:4" s="55" customFormat="1" ht="21">
      <c r="A64" s="288"/>
      <c r="B64" s="288"/>
      <c r="C64" s="288"/>
      <c r="D64" s="288"/>
    </row>
    <row r="65" spans="1:4" s="55" customFormat="1" ht="21">
      <c r="A65" s="288"/>
      <c r="B65" s="288"/>
      <c r="C65" s="288"/>
      <c r="D65" s="288"/>
    </row>
    <row r="66" spans="1:4" s="55" customFormat="1" ht="21">
      <c r="A66" s="288"/>
      <c r="B66" s="288"/>
      <c r="C66" s="288"/>
      <c r="D66" s="288"/>
    </row>
    <row r="67" spans="1:4" s="55" customFormat="1" ht="21">
      <c r="A67" s="288"/>
      <c r="B67" s="288"/>
      <c r="C67" s="288"/>
      <c r="D67" s="288"/>
    </row>
    <row r="68" spans="1:4" s="55" customFormat="1" ht="21">
      <c r="A68" s="288"/>
      <c r="B68" s="288"/>
      <c r="C68" s="288"/>
      <c r="D68" s="288"/>
    </row>
    <row r="69" spans="1:4" s="55" customFormat="1" ht="21">
      <c r="A69" s="288"/>
      <c r="B69" s="288"/>
      <c r="C69" s="288"/>
      <c r="D69" s="288"/>
    </row>
    <row r="70" spans="1:4" s="55" customFormat="1" ht="21">
      <c r="A70" s="288"/>
      <c r="B70" s="288"/>
      <c r="C70" s="288"/>
      <c r="D70" s="288"/>
    </row>
    <row r="71" spans="1:4" s="55" customFormat="1" ht="21">
      <c r="A71" s="288"/>
      <c r="B71" s="288"/>
      <c r="C71" s="288"/>
      <c r="D71" s="288"/>
    </row>
    <row r="72" spans="1:4" s="55" customFormat="1" ht="21">
      <c r="A72" s="559" t="s">
        <v>303</v>
      </c>
      <c r="B72" s="559"/>
      <c r="C72" s="559"/>
      <c r="D72" s="559"/>
    </row>
    <row r="73" spans="1:4" s="55" customFormat="1" ht="21">
      <c r="A73" s="559" t="s">
        <v>344</v>
      </c>
      <c r="B73" s="559"/>
      <c r="C73" s="559"/>
      <c r="D73" s="559"/>
    </row>
    <row r="74" spans="1:4" s="55" customFormat="1" ht="21">
      <c r="A74" s="560" t="s">
        <v>458</v>
      </c>
      <c r="B74" s="560"/>
      <c r="C74" s="560"/>
      <c r="D74" s="560"/>
    </row>
    <row r="75" spans="1:4" s="55" customFormat="1" ht="21">
      <c r="A75" s="260" t="s">
        <v>31</v>
      </c>
      <c r="B75" s="261" t="s">
        <v>305</v>
      </c>
      <c r="C75" s="260" t="s">
        <v>306</v>
      </c>
      <c r="D75" s="260" t="s">
        <v>307</v>
      </c>
    </row>
    <row r="76" spans="1:4" s="55" customFormat="1" ht="21">
      <c r="A76" s="262" t="s">
        <v>67</v>
      </c>
      <c r="B76" s="263">
        <v>11011000</v>
      </c>
      <c r="C76" s="264">
        <f>799802.79-7000-792802.79</f>
        <v>0</v>
      </c>
      <c r="D76" s="264"/>
    </row>
    <row r="77" spans="1:6" s="55" customFormat="1" ht="21">
      <c r="A77" s="265" t="s">
        <v>308</v>
      </c>
      <c r="B77" s="266">
        <v>11012001</v>
      </c>
      <c r="C77" s="267">
        <v>558145.51</v>
      </c>
      <c r="D77" s="264"/>
      <c r="F77" s="55">
        <f>558145.51+4300250.53+7400764.85+5154890.33+255689.33+1254756.82+251238.47+8923+456.84+23711+525178+209600</f>
        <v>19943604.679999996</v>
      </c>
    </row>
    <row r="78" spans="1:4" s="55" customFormat="1" ht="21">
      <c r="A78" s="265" t="s">
        <v>309</v>
      </c>
      <c r="B78" s="266">
        <v>11012001</v>
      </c>
      <c r="C78" s="269">
        <v>4300250.53</v>
      </c>
      <c r="D78" s="264"/>
    </row>
    <row r="79" spans="1:4" s="55" customFormat="1" ht="21">
      <c r="A79" s="265" t="s">
        <v>310</v>
      </c>
      <c r="B79" s="266">
        <v>11012001</v>
      </c>
      <c r="C79" s="269">
        <v>7400764.85</v>
      </c>
      <c r="D79" s="264"/>
    </row>
    <row r="80" spans="1:4" s="55" customFormat="1" ht="21">
      <c r="A80" s="265" t="s">
        <v>311</v>
      </c>
      <c r="B80" s="266">
        <v>11012001</v>
      </c>
      <c r="C80" s="269">
        <v>5154890.33</v>
      </c>
      <c r="D80" s="264"/>
    </row>
    <row r="81" spans="1:4" s="55" customFormat="1" ht="21">
      <c r="A81" s="265" t="s">
        <v>312</v>
      </c>
      <c r="B81" s="263">
        <v>11012004</v>
      </c>
      <c r="C81" s="264">
        <v>0</v>
      </c>
      <c r="D81" s="264"/>
    </row>
    <row r="82" spans="1:4" s="55" customFormat="1" ht="21">
      <c r="A82" s="265" t="s">
        <v>313</v>
      </c>
      <c r="B82" s="263">
        <v>11012004</v>
      </c>
      <c r="C82" s="264">
        <v>0</v>
      </c>
      <c r="D82" s="264"/>
    </row>
    <row r="83" spans="1:4" s="55" customFormat="1" ht="21">
      <c r="A83" s="265" t="s">
        <v>314</v>
      </c>
      <c r="B83" s="263">
        <v>11012002</v>
      </c>
      <c r="C83" s="264">
        <v>255689.33</v>
      </c>
      <c r="D83" s="264"/>
    </row>
    <row r="84" spans="1:4" s="55" customFormat="1" ht="21">
      <c r="A84" s="265" t="s">
        <v>315</v>
      </c>
      <c r="B84" s="263">
        <v>11012002</v>
      </c>
      <c r="C84" s="264">
        <v>1254756.82</v>
      </c>
      <c r="D84" s="264"/>
    </row>
    <row r="85" spans="1:4" s="55" customFormat="1" ht="21">
      <c r="A85" s="265" t="s">
        <v>316</v>
      </c>
      <c r="B85" s="263">
        <v>11012002</v>
      </c>
      <c r="C85" s="264">
        <v>251238.47</v>
      </c>
      <c r="D85" s="264"/>
    </row>
    <row r="86" spans="1:4" s="55" customFormat="1" ht="21">
      <c r="A86" s="262" t="s">
        <v>317</v>
      </c>
      <c r="B86" s="263">
        <v>11043001</v>
      </c>
      <c r="C86" s="270">
        <v>8923</v>
      </c>
      <c r="D86" s="264"/>
    </row>
    <row r="87" spans="1:4" s="55" customFormat="1" ht="21">
      <c r="A87" s="262" t="s">
        <v>318</v>
      </c>
      <c r="B87" s="263">
        <v>11043002</v>
      </c>
      <c r="C87" s="270">
        <v>456.84</v>
      </c>
      <c r="D87" s="264"/>
    </row>
    <row r="88" spans="1:4" s="55" customFormat="1" ht="21">
      <c r="A88" s="262" t="s">
        <v>319</v>
      </c>
      <c r="B88" s="263">
        <v>11043003</v>
      </c>
      <c r="C88" s="270">
        <v>23711</v>
      </c>
      <c r="D88" s="264"/>
    </row>
    <row r="89" spans="1:4" s="55" customFormat="1" ht="21">
      <c r="A89" s="262" t="s">
        <v>320</v>
      </c>
      <c r="B89" s="263">
        <v>11045000</v>
      </c>
      <c r="C89" s="270">
        <v>525178</v>
      </c>
      <c r="D89" s="264"/>
    </row>
    <row r="90" spans="1:4" s="55" customFormat="1" ht="21" hidden="1">
      <c r="A90" s="262" t="s">
        <v>56</v>
      </c>
      <c r="B90" s="263"/>
      <c r="C90" s="270">
        <f>195400-1000+78560-272960</f>
        <v>0</v>
      </c>
      <c r="D90" s="264"/>
    </row>
    <row r="91" spans="1:4" s="55" customFormat="1" ht="21" hidden="1">
      <c r="A91" s="262" t="s">
        <v>8</v>
      </c>
      <c r="B91" s="263"/>
      <c r="C91" s="270">
        <f>62839+55688-118527+36848+340700-377548</f>
        <v>0</v>
      </c>
      <c r="D91" s="264"/>
    </row>
    <row r="92" spans="1:4" s="55" customFormat="1" ht="21" hidden="1">
      <c r="A92" s="262" t="s">
        <v>321</v>
      </c>
      <c r="B92" s="263">
        <v>11041000</v>
      </c>
      <c r="C92" s="270">
        <f>-3400-374410+377810+327700-648900+351620-4400-2500-3100-344620+324200-3600-318600+475800-2700-549028+445456-3200-800-385948+342620-2500-2400-317300+324600-1900-315400+318500-4000-1600-327406+343648-1300-330016+330074-1300+316400-328100</f>
        <v>0</v>
      </c>
      <c r="D92" s="264"/>
    </row>
    <row r="93" spans="1:4" s="55" customFormat="1" ht="21" hidden="1">
      <c r="A93" s="262" t="s">
        <v>322</v>
      </c>
      <c r="B93" s="263">
        <v>11043004</v>
      </c>
      <c r="C93" s="270">
        <f>115100-5500-109600</f>
        <v>0</v>
      </c>
      <c r="D93" s="264"/>
    </row>
    <row r="94" spans="1:4" s="55" customFormat="1" ht="21">
      <c r="A94" s="262" t="s">
        <v>55</v>
      </c>
      <c r="B94" s="263">
        <v>11042000</v>
      </c>
      <c r="C94" s="270">
        <v>209600</v>
      </c>
      <c r="D94" s="264"/>
    </row>
    <row r="95" spans="1:4" s="55" customFormat="1" ht="21" hidden="1">
      <c r="A95" s="271" t="s">
        <v>460</v>
      </c>
      <c r="B95" s="263">
        <v>44100001</v>
      </c>
      <c r="C95" s="270"/>
      <c r="D95" s="270">
        <v>0</v>
      </c>
    </row>
    <row r="96" spans="1:4" s="55" customFormat="1" ht="21" hidden="1">
      <c r="A96" s="262" t="s">
        <v>324</v>
      </c>
      <c r="B96" s="263"/>
      <c r="C96" s="270">
        <f>1563-1563</f>
        <v>0</v>
      </c>
      <c r="D96" s="264"/>
    </row>
    <row r="97" spans="1:4" s="55" customFormat="1" ht="21" hidden="1">
      <c r="A97" s="262" t="s">
        <v>325</v>
      </c>
      <c r="B97" s="263">
        <v>40000000</v>
      </c>
      <c r="C97" s="270"/>
      <c r="D97" s="264">
        <v>0</v>
      </c>
    </row>
    <row r="98" spans="1:4" s="55" customFormat="1" ht="21">
      <c r="A98" s="272" t="s">
        <v>326</v>
      </c>
      <c r="B98" s="263">
        <v>21010000</v>
      </c>
      <c r="C98" s="270"/>
      <c r="D98" s="264">
        <f>+'[1]หมายเหตุงบทดลอง ก่อน+หลังปิด'!H71</f>
        <v>0</v>
      </c>
    </row>
    <row r="99" spans="1:4" s="55" customFormat="1" ht="21">
      <c r="A99" s="273" t="s">
        <v>327</v>
      </c>
      <c r="B99" s="263">
        <v>21040000</v>
      </c>
      <c r="C99" s="270"/>
      <c r="D99" s="264">
        <f>+'[1]หมายเหตุงบทดลอง ก่อน+หลังปิด'!H74</f>
        <v>0</v>
      </c>
    </row>
    <row r="100" spans="1:4" s="55" customFormat="1" ht="21">
      <c r="A100" s="273" t="s">
        <v>328</v>
      </c>
      <c r="B100" s="263">
        <v>21010001</v>
      </c>
      <c r="C100" s="270"/>
      <c r="D100" s="264">
        <f>+'หมายเหตงบทดลองก่อนปิด-หลังปิด'!H78</f>
        <v>1038480</v>
      </c>
    </row>
    <row r="101" spans="1:4" s="55" customFormat="1" ht="21">
      <c r="A101" s="273" t="s">
        <v>329</v>
      </c>
      <c r="B101" s="263">
        <v>21040000</v>
      </c>
      <c r="C101" s="270"/>
      <c r="D101" s="264">
        <f>+'หมายเหตงบทดลองก่อนปิด-หลังปิด'!H93</f>
        <v>1772318.25</v>
      </c>
    </row>
    <row r="102" spans="1:4" s="55" customFormat="1" ht="21">
      <c r="A102" s="273" t="s">
        <v>330</v>
      </c>
      <c r="B102" s="263">
        <v>21040014</v>
      </c>
      <c r="C102" s="270"/>
      <c r="D102" s="264">
        <f>+'หมายเหตงบทดลองก่อนปิด-หลังปิด'!H107</f>
        <v>166380</v>
      </c>
    </row>
    <row r="103" spans="1:4" s="55" customFormat="1" ht="21" hidden="1">
      <c r="A103" s="262" t="s">
        <v>331</v>
      </c>
      <c r="B103" s="263">
        <v>21020000</v>
      </c>
      <c r="C103" s="264"/>
      <c r="D103" s="264"/>
    </row>
    <row r="104" spans="1:4" s="55" customFormat="1" ht="21" hidden="1">
      <c r="A104" s="262" t="s">
        <v>332</v>
      </c>
      <c r="B104" s="263">
        <v>22010000</v>
      </c>
      <c r="C104" s="264"/>
      <c r="D104" s="264"/>
    </row>
    <row r="105" spans="1:4" s="55" customFormat="1" ht="21" hidden="1">
      <c r="A105" s="262" t="s">
        <v>333</v>
      </c>
      <c r="B105" s="263">
        <v>22010000</v>
      </c>
      <c r="C105" s="264"/>
      <c r="D105" s="264">
        <f>115100-5500-109600</f>
        <v>0</v>
      </c>
    </row>
    <row r="106" spans="1:4" s="55" customFormat="1" ht="21">
      <c r="A106" s="262" t="s">
        <v>52</v>
      </c>
      <c r="B106" s="263">
        <v>31000000</v>
      </c>
      <c r="C106" s="264"/>
      <c r="D106" s="264">
        <f>6178345.15+1714010.02</f>
        <v>7892355.17</v>
      </c>
    </row>
    <row r="107" spans="1:4" s="55" customFormat="1" ht="21">
      <c r="A107" s="262" t="s">
        <v>22</v>
      </c>
      <c r="B107" s="263">
        <v>32000000</v>
      </c>
      <c r="C107" s="264"/>
      <c r="D107" s="264">
        <f>8502734.59+571336.67</f>
        <v>9074071.26</v>
      </c>
    </row>
    <row r="108" spans="1:4" s="55" customFormat="1" ht="21" hidden="1">
      <c r="A108" s="262" t="s">
        <v>49</v>
      </c>
      <c r="B108" s="263">
        <v>51100000</v>
      </c>
      <c r="C108" s="264">
        <v>0</v>
      </c>
      <c r="D108" s="264"/>
    </row>
    <row r="109" spans="1:4" s="55" customFormat="1" ht="21" hidden="1">
      <c r="A109" s="262" t="s">
        <v>279</v>
      </c>
      <c r="B109" s="263">
        <v>52100000</v>
      </c>
      <c r="C109" s="264">
        <v>0</v>
      </c>
      <c r="D109" s="264"/>
    </row>
    <row r="110" spans="1:4" s="55" customFormat="1" ht="21" hidden="1">
      <c r="A110" s="262" t="s">
        <v>280</v>
      </c>
      <c r="B110" s="266">
        <v>52200000</v>
      </c>
      <c r="C110" s="264">
        <v>0</v>
      </c>
      <c r="D110" s="264"/>
    </row>
    <row r="111" spans="1:4" s="55" customFormat="1" ht="21" hidden="1">
      <c r="A111" s="262" t="s">
        <v>45</v>
      </c>
      <c r="B111" s="280">
        <v>53100000</v>
      </c>
      <c r="C111" s="264">
        <v>0</v>
      </c>
      <c r="D111" s="264"/>
    </row>
    <row r="112" spans="1:4" s="55" customFormat="1" ht="21" hidden="1">
      <c r="A112" s="262" t="s">
        <v>46</v>
      </c>
      <c r="B112" s="280">
        <v>53200000</v>
      </c>
      <c r="C112" s="264">
        <v>0</v>
      </c>
      <c r="D112" s="264"/>
    </row>
    <row r="113" spans="1:4" s="55" customFormat="1" ht="21" hidden="1">
      <c r="A113" s="262" t="s">
        <v>47</v>
      </c>
      <c r="B113" s="280">
        <v>53300000</v>
      </c>
      <c r="C113" s="264">
        <v>0</v>
      </c>
      <c r="D113" s="264"/>
    </row>
    <row r="114" spans="2:4" s="274" customFormat="1" ht="21" hidden="1">
      <c r="B114" s="275"/>
      <c r="C114" s="267"/>
      <c r="D114" s="267"/>
    </row>
    <row r="115" spans="2:4" s="274" customFormat="1" ht="21" hidden="1">
      <c r="B115" s="275"/>
      <c r="C115" s="267"/>
      <c r="D115" s="267"/>
    </row>
    <row r="116" spans="1:4" s="274" customFormat="1" ht="21" hidden="1">
      <c r="A116" s="276"/>
      <c r="B116" s="277" t="s">
        <v>334</v>
      </c>
      <c r="C116" s="278"/>
      <c r="D116" s="278"/>
    </row>
    <row r="117" spans="1:4" s="55" customFormat="1" ht="21" hidden="1">
      <c r="A117" s="279" t="s">
        <v>31</v>
      </c>
      <c r="B117" s="259" t="s">
        <v>305</v>
      </c>
      <c r="C117" s="279" t="s">
        <v>306</v>
      </c>
      <c r="D117" s="279" t="s">
        <v>307</v>
      </c>
    </row>
    <row r="118" spans="1:4" s="55" customFormat="1" ht="21" hidden="1">
      <c r="A118" s="262" t="s">
        <v>335</v>
      </c>
      <c r="B118" s="280">
        <v>53400000</v>
      </c>
      <c r="C118" s="264">
        <v>0</v>
      </c>
      <c r="D118" s="264"/>
    </row>
    <row r="119" spans="1:4" s="55" customFormat="1" ht="21" hidden="1">
      <c r="A119" s="262" t="s">
        <v>336</v>
      </c>
      <c r="B119" s="280">
        <v>54100000</v>
      </c>
      <c r="C119" s="264">
        <v>0</v>
      </c>
      <c r="D119" s="264"/>
    </row>
    <row r="120" spans="1:4" s="55" customFormat="1" ht="21" hidden="1">
      <c r="A120" s="262" t="s">
        <v>337</v>
      </c>
      <c r="B120" s="281">
        <v>54200000</v>
      </c>
      <c r="C120" s="264">
        <v>0</v>
      </c>
      <c r="D120" s="264"/>
    </row>
    <row r="121" spans="1:4" s="55" customFormat="1" ht="21" hidden="1">
      <c r="A121" s="262" t="s">
        <v>28</v>
      </c>
      <c r="B121" s="280">
        <v>56100000</v>
      </c>
      <c r="C121" s="264">
        <v>0</v>
      </c>
      <c r="D121" s="264"/>
    </row>
    <row r="122" spans="1:4" s="55" customFormat="1" ht="21" hidden="1">
      <c r="A122" s="262" t="s">
        <v>48</v>
      </c>
      <c r="B122" s="281">
        <v>55100000</v>
      </c>
      <c r="C122" s="264">
        <v>0</v>
      </c>
      <c r="D122" s="264"/>
    </row>
    <row r="123" spans="1:6" s="286" customFormat="1" ht="18.75">
      <c r="A123" s="561" t="s">
        <v>68</v>
      </c>
      <c r="B123" s="562"/>
      <c r="C123" s="284">
        <f>SUM(C76:C122)</f>
        <v>19943604.679999996</v>
      </c>
      <c r="D123" s="284">
        <f>SUM(D76:D122)</f>
        <v>19943604.68</v>
      </c>
      <c r="E123" s="285">
        <f>+C123-D123</f>
        <v>0</v>
      </c>
      <c r="F123" s="285"/>
    </row>
    <row r="124" spans="2:4" s="55" customFormat="1" ht="21">
      <c r="B124" s="274"/>
      <c r="C124" s="287"/>
      <c r="D124" s="287"/>
    </row>
    <row r="125" spans="2:4" s="55" customFormat="1" ht="21">
      <c r="B125" s="274"/>
      <c r="C125" s="287"/>
      <c r="D125" s="287"/>
    </row>
    <row r="126" spans="1:4" s="55" customFormat="1" ht="21">
      <c r="A126" s="288" t="s">
        <v>338</v>
      </c>
      <c r="B126" s="558" t="s">
        <v>339</v>
      </c>
      <c r="C126" s="558"/>
      <c r="D126" s="558"/>
    </row>
    <row r="127" spans="1:4" s="55" customFormat="1" ht="21">
      <c r="A127" s="288" t="s">
        <v>340</v>
      </c>
      <c r="B127" s="558" t="s">
        <v>341</v>
      </c>
      <c r="C127" s="558"/>
      <c r="D127" s="558"/>
    </row>
    <row r="128" spans="1:4" s="55" customFormat="1" ht="21">
      <c r="A128" s="288"/>
      <c r="B128" s="288"/>
      <c r="C128" s="288"/>
      <c r="D128" s="288"/>
    </row>
    <row r="129" spans="1:4" s="55" customFormat="1" ht="21">
      <c r="A129" s="558" t="s">
        <v>342</v>
      </c>
      <c r="B129" s="558"/>
      <c r="C129" s="558"/>
      <c r="D129" s="558"/>
    </row>
    <row r="130" spans="1:4" s="55" customFormat="1" ht="21">
      <c r="A130" s="558" t="s">
        <v>343</v>
      </c>
      <c r="B130" s="558"/>
      <c r="C130" s="558"/>
      <c r="D130" s="558"/>
    </row>
    <row r="131" spans="1:4" s="55" customFormat="1" ht="21">
      <c r="A131" s="288"/>
      <c r="B131" s="288"/>
      <c r="C131" s="288"/>
      <c r="D131" s="288"/>
    </row>
  </sheetData>
  <sheetProtection/>
  <mergeCells count="15">
    <mergeCell ref="A1:D1"/>
    <mergeCell ref="A2:D2"/>
    <mergeCell ref="A3:D3"/>
    <mergeCell ref="B55:D55"/>
    <mergeCell ref="B56:D56"/>
    <mergeCell ref="A60:D60"/>
    <mergeCell ref="B127:D127"/>
    <mergeCell ref="A129:D129"/>
    <mergeCell ref="A130:D130"/>
    <mergeCell ref="A61:D61"/>
    <mergeCell ref="A72:D72"/>
    <mergeCell ref="A73:D73"/>
    <mergeCell ref="A74:D74"/>
    <mergeCell ref="A123:B123"/>
    <mergeCell ref="B126:D12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="120" zoomScaleSheetLayoutView="120" zoomScalePageLayoutView="0" workbookViewId="0" topLeftCell="A1">
      <selection activeCell="D17" sqref="D17"/>
    </sheetView>
  </sheetViews>
  <sheetFormatPr defaultColWidth="9.140625" defaultRowHeight="15"/>
  <cols>
    <col min="1" max="1" width="9.57421875" style="3" customWidth="1"/>
    <col min="2" max="2" width="21.57421875" style="3" customWidth="1"/>
    <col min="3" max="3" width="22.421875" style="3" customWidth="1"/>
    <col min="4" max="4" width="14.7109375" style="3" customWidth="1"/>
    <col min="5" max="5" width="2.421875" style="3" customWidth="1"/>
    <col min="6" max="6" width="16.00390625" style="3" customWidth="1"/>
    <col min="7" max="7" width="9.00390625" style="3" customWidth="1"/>
    <col min="8" max="8" width="10.8515625" style="3" bestFit="1" customWidth="1"/>
    <col min="9" max="16384" width="9.00390625" style="3" customWidth="1"/>
  </cols>
  <sheetData>
    <row r="1" spans="1:6" ht="21">
      <c r="A1" s="604" t="str">
        <f>+งบแสดงฐานะการเงิน!A1</f>
        <v>องค์การบริหารส่วนตำบลโพนทอง</v>
      </c>
      <c r="B1" s="604"/>
      <c r="C1" s="604"/>
      <c r="D1" s="604"/>
      <c r="E1" s="604"/>
      <c r="F1" s="604"/>
    </row>
    <row r="2" spans="1:6" ht="21">
      <c r="A2" s="604" t="s">
        <v>65</v>
      </c>
      <c r="B2" s="604"/>
      <c r="C2" s="604"/>
      <c r="D2" s="604"/>
      <c r="E2" s="604"/>
      <c r="F2" s="604"/>
    </row>
    <row r="3" spans="1:6" ht="21">
      <c r="A3" s="604" t="s">
        <v>205</v>
      </c>
      <c r="B3" s="604"/>
      <c r="C3" s="604"/>
      <c r="D3" s="604"/>
      <c r="E3" s="604"/>
      <c r="F3" s="604"/>
    </row>
    <row r="6" spans="1:6" ht="21">
      <c r="A6" s="6" t="s">
        <v>219</v>
      </c>
      <c r="D6" s="107">
        <v>2561</v>
      </c>
      <c r="E6" s="107"/>
      <c r="F6" s="107">
        <v>2560</v>
      </c>
    </row>
    <row r="7" spans="2:6" ht="21">
      <c r="B7" s="3" t="s">
        <v>549</v>
      </c>
      <c r="D7" s="71">
        <v>76800</v>
      </c>
      <c r="E7" s="71"/>
      <c r="F7" s="71">
        <v>76800</v>
      </c>
    </row>
    <row r="8" spans="2:6" ht="21">
      <c r="B8" s="3" t="s">
        <v>550</v>
      </c>
      <c r="D8" s="71">
        <v>31800</v>
      </c>
      <c r="E8" s="71"/>
      <c r="F8" s="71">
        <v>31800</v>
      </c>
    </row>
    <row r="9" spans="2:6" ht="21">
      <c r="B9" s="3" t="s">
        <v>551</v>
      </c>
      <c r="D9" s="71">
        <v>1000</v>
      </c>
      <c r="E9" s="71"/>
      <c r="F9" s="71">
        <v>1000</v>
      </c>
    </row>
    <row r="10" spans="2:6" ht="21">
      <c r="B10" s="3" t="s">
        <v>552</v>
      </c>
      <c r="D10" s="71"/>
      <c r="E10" s="71"/>
      <c r="F10" s="71">
        <v>792802.79</v>
      </c>
    </row>
    <row r="11" spans="2:6" ht="21">
      <c r="B11" s="3" t="s">
        <v>553</v>
      </c>
      <c r="D11" s="71"/>
      <c r="E11" s="71"/>
      <c r="F11" s="71">
        <v>3546763.24</v>
      </c>
    </row>
    <row r="12" spans="2:6" ht="21">
      <c r="B12" s="3" t="s">
        <v>554</v>
      </c>
      <c r="D12" s="71"/>
      <c r="E12" s="71"/>
      <c r="F12" s="71"/>
    </row>
    <row r="13" spans="2:6" ht="21">
      <c r="B13" s="3" t="s">
        <v>534</v>
      </c>
      <c r="D13" s="71">
        <v>100000</v>
      </c>
      <c r="E13" s="71"/>
      <c r="F13" s="71">
        <v>0</v>
      </c>
    </row>
    <row r="14" ht="21">
      <c r="B14" s="5" t="s">
        <v>195</v>
      </c>
    </row>
    <row r="15" spans="2:8" ht="21.75" thickBot="1">
      <c r="B15" s="155" t="s">
        <v>68</v>
      </c>
      <c r="C15" s="5"/>
      <c r="D15" s="72">
        <f>SUM(D7:D14)</f>
        <v>209600</v>
      </c>
      <c r="F15" s="72">
        <f>SUM(F7:F14)</f>
        <v>4449166.03</v>
      </c>
      <c r="H15" s="70"/>
    </row>
    <row r="16" ht="21.75" thickTop="1"/>
    <row r="19" spans="1:6" ht="21">
      <c r="A19" s="600" t="s">
        <v>338</v>
      </c>
      <c r="B19" s="600"/>
      <c r="C19" s="5" t="s">
        <v>339</v>
      </c>
      <c r="D19" s="600" t="s">
        <v>342</v>
      </c>
      <c r="E19" s="600"/>
      <c r="F19" s="600"/>
    </row>
    <row r="20" spans="1:6" ht="21">
      <c r="A20" s="600" t="s">
        <v>340</v>
      </c>
      <c r="B20" s="600"/>
      <c r="C20" s="5" t="s">
        <v>372</v>
      </c>
      <c r="D20" s="600" t="s">
        <v>343</v>
      </c>
      <c r="E20" s="600"/>
      <c r="F20" s="600"/>
    </row>
  </sheetData>
  <sheetProtection/>
  <mergeCells count="7">
    <mergeCell ref="A1:F1"/>
    <mergeCell ref="A2:F2"/>
    <mergeCell ref="A3:F3"/>
    <mergeCell ref="D19:F19"/>
    <mergeCell ref="D20:F20"/>
    <mergeCell ref="A19:B19"/>
    <mergeCell ref="A20:B20"/>
  </mergeCells>
  <printOptions/>
  <pageMargins left="0.7086614173228347" right="0" top="0.7480314960629921" bottom="0.7480314960629921" header="0.31496062992125984" footer="0.31496062992125984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6"/>
  <sheetViews>
    <sheetView view="pageBreakPreview" zoomScale="96" zoomScaleSheetLayoutView="96" zoomScalePageLayoutView="0" workbookViewId="0" topLeftCell="A13">
      <selection activeCell="A34" sqref="A34:IV34"/>
    </sheetView>
  </sheetViews>
  <sheetFormatPr defaultColWidth="9.140625" defaultRowHeight="15"/>
  <cols>
    <col min="1" max="1" width="6.57421875" style="3" customWidth="1"/>
    <col min="2" max="2" width="20.140625" style="3" customWidth="1"/>
    <col min="3" max="3" width="10.421875" style="3" customWidth="1"/>
    <col min="4" max="4" width="8.7109375" style="3" customWidth="1"/>
    <col min="5" max="5" width="11.421875" style="3" customWidth="1"/>
    <col min="6" max="6" width="9.00390625" style="3" customWidth="1"/>
    <col min="7" max="7" width="11.421875" style="3" customWidth="1"/>
    <col min="8" max="8" width="11.8515625" style="3" customWidth="1"/>
    <col min="9" max="16384" width="9.00390625" style="3" customWidth="1"/>
  </cols>
  <sheetData>
    <row r="1" spans="1:8" ht="21">
      <c r="A1" s="604" t="str">
        <f>+งบแสดงฐานะการเงิน!A1</f>
        <v>องค์การบริหารส่วนตำบลโพนทอง</v>
      </c>
      <c r="B1" s="604"/>
      <c r="C1" s="604"/>
      <c r="D1" s="604"/>
      <c r="E1" s="604"/>
      <c r="F1" s="604"/>
      <c r="G1" s="604"/>
      <c r="H1" s="604"/>
    </row>
    <row r="2" spans="1:8" ht="21">
      <c r="A2" s="604" t="s">
        <v>65</v>
      </c>
      <c r="B2" s="604"/>
      <c r="C2" s="604"/>
      <c r="D2" s="604"/>
      <c r="E2" s="604"/>
      <c r="F2" s="604"/>
      <c r="G2" s="604"/>
      <c r="H2" s="604"/>
    </row>
    <row r="3" spans="1:8" ht="21">
      <c r="A3" s="604" t="s">
        <v>205</v>
      </c>
      <c r="B3" s="604"/>
      <c r="C3" s="604"/>
      <c r="D3" s="604"/>
      <c r="E3" s="604"/>
      <c r="F3" s="604"/>
      <c r="G3" s="604"/>
      <c r="H3" s="604"/>
    </row>
    <row r="4" ht="9" customHeight="1"/>
    <row r="5" ht="21">
      <c r="A5" s="6" t="s">
        <v>220</v>
      </c>
    </row>
    <row r="6" spans="1:8" ht="21">
      <c r="A6" s="6"/>
      <c r="B6" s="608" t="s">
        <v>69</v>
      </c>
      <c r="C6" s="607">
        <v>2561</v>
      </c>
      <c r="D6" s="607"/>
      <c r="E6" s="607"/>
      <c r="F6" s="607">
        <v>2560</v>
      </c>
      <c r="G6" s="607"/>
      <c r="H6" s="607"/>
    </row>
    <row r="7" spans="2:8" ht="21">
      <c r="B7" s="608"/>
      <c r="C7" s="189" t="s">
        <v>70</v>
      </c>
      <c r="D7" s="189" t="s">
        <v>71</v>
      </c>
      <c r="E7" s="189" t="s">
        <v>30</v>
      </c>
      <c r="F7" s="189" t="s">
        <v>70</v>
      </c>
      <c r="G7" s="189" t="s">
        <v>71</v>
      </c>
      <c r="H7" s="189" t="s">
        <v>30</v>
      </c>
    </row>
    <row r="8" spans="2:8" ht="21">
      <c r="B8" s="8" t="s">
        <v>72</v>
      </c>
      <c r="C8" s="8">
        <v>2555</v>
      </c>
      <c r="D8" s="10"/>
      <c r="E8" s="10">
        <v>0</v>
      </c>
      <c r="F8" s="174">
        <v>2555</v>
      </c>
      <c r="G8" s="10"/>
      <c r="H8" s="10">
        <v>0</v>
      </c>
    </row>
    <row r="9" spans="2:8" ht="21">
      <c r="B9" s="88"/>
      <c r="C9" s="88">
        <v>2556</v>
      </c>
      <c r="D9" s="11"/>
      <c r="E9" s="11"/>
      <c r="F9" s="88">
        <v>2556</v>
      </c>
      <c r="G9" s="11"/>
      <c r="H9" s="11"/>
    </row>
    <row r="10" spans="2:8" ht="21">
      <c r="B10" s="88"/>
      <c r="C10" s="88">
        <v>2557</v>
      </c>
      <c r="D10" s="11"/>
      <c r="E10" s="11"/>
      <c r="F10" s="88">
        <v>2557</v>
      </c>
      <c r="G10" s="11"/>
      <c r="H10" s="11"/>
    </row>
    <row r="11" spans="2:8" ht="21">
      <c r="B11" s="88"/>
      <c r="C11" s="88">
        <v>2558</v>
      </c>
      <c r="D11" s="11"/>
      <c r="E11" s="11"/>
      <c r="F11" s="88">
        <v>2558</v>
      </c>
      <c r="G11" s="11"/>
      <c r="H11" s="11"/>
    </row>
    <row r="12" spans="2:8" ht="21">
      <c r="B12" s="88"/>
      <c r="C12" s="88">
        <v>2559</v>
      </c>
      <c r="D12" s="11"/>
      <c r="E12" s="11"/>
      <c r="F12" s="88">
        <v>2559</v>
      </c>
      <c r="G12" s="11">
        <v>1</v>
      </c>
      <c r="H12" s="11">
        <v>4955</v>
      </c>
    </row>
    <row r="13" spans="2:8" ht="21">
      <c r="B13" s="88"/>
      <c r="C13" s="88">
        <v>2560</v>
      </c>
      <c r="D13" s="11"/>
      <c r="E13" s="11"/>
      <c r="F13" s="88">
        <v>2560</v>
      </c>
      <c r="G13" s="11">
        <v>1</v>
      </c>
      <c r="H13" s="11">
        <v>8923</v>
      </c>
    </row>
    <row r="14" spans="2:8" ht="21">
      <c r="B14" s="9"/>
      <c r="C14" s="9">
        <v>2561</v>
      </c>
      <c r="D14" s="11">
        <v>1</v>
      </c>
      <c r="E14" s="11">
        <v>8923</v>
      </c>
      <c r="F14" s="88">
        <v>2561</v>
      </c>
      <c r="G14" s="11"/>
      <c r="H14" s="11">
        <v>0</v>
      </c>
    </row>
    <row r="15" spans="2:8" ht="21">
      <c r="B15" s="605" t="s">
        <v>68</v>
      </c>
      <c r="C15" s="606"/>
      <c r="D15" s="79">
        <f>SUM(D8:D14)</f>
        <v>1</v>
      </c>
      <c r="E15" s="80">
        <f>SUM(E8:E14)</f>
        <v>8923</v>
      </c>
      <c r="F15" s="80"/>
      <c r="G15" s="79">
        <f>SUM(G8:G14)</f>
        <v>2</v>
      </c>
      <c r="H15" s="80">
        <f>SUM(H8:H14)</f>
        <v>13878</v>
      </c>
    </row>
    <row r="16" spans="2:8" ht="21">
      <c r="B16" s="8" t="s">
        <v>74</v>
      </c>
      <c r="C16" s="174">
        <v>2555</v>
      </c>
      <c r="D16" s="10"/>
      <c r="E16" s="10">
        <v>0</v>
      </c>
      <c r="F16" s="174">
        <v>2555</v>
      </c>
      <c r="G16" s="10"/>
      <c r="H16" s="10">
        <v>0</v>
      </c>
    </row>
    <row r="17" spans="2:12" ht="21">
      <c r="B17" s="88"/>
      <c r="C17" s="88">
        <v>2556</v>
      </c>
      <c r="D17" s="11"/>
      <c r="E17" s="11"/>
      <c r="F17" s="88">
        <v>2556</v>
      </c>
      <c r="G17" s="11"/>
      <c r="H17" s="11"/>
      <c r="L17" s="3">
        <f>282000+295000+232000+469000+98000+72000+103000+172000+196000+146000+199000+243000+139000+107000+119436</f>
        <v>2872436</v>
      </c>
    </row>
    <row r="18" spans="2:8" ht="21">
      <c r="B18" s="88"/>
      <c r="C18" s="88">
        <v>2557</v>
      </c>
      <c r="D18" s="11"/>
      <c r="E18" s="11"/>
      <c r="F18" s="88">
        <v>2557</v>
      </c>
      <c r="G18" s="11"/>
      <c r="H18" s="11"/>
    </row>
    <row r="19" spans="2:8" ht="21">
      <c r="B19" s="88"/>
      <c r="C19" s="88">
        <v>2558</v>
      </c>
      <c r="D19" s="11"/>
      <c r="E19" s="11"/>
      <c r="F19" s="88">
        <v>2558</v>
      </c>
      <c r="G19" s="11">
        <v>1</v>
      </c>
      <c r="H19" s="11">
        <v>93.06</v>
      </c>
    </row>
    <row r="20" spans="2:8" ht="21">
      <c r="B20" s="88"/>
      <c r="C20" s="88">
        <v>2559</v>
      </c>
      <c r="D20" s="11"/>
      <c r="E20" s="11"/>
      <c r="F20" s="88">
        <v>2559</v>
      </c>
      <c r="G20" s="11">
        <v>3</v>
      </c>
      <c r="H20" s="11">
        <v>311.87</v>
      </c>
    </row>
    <row r="21" spans="2:8" ht="21">
      <c r="B21" s="88"/>
      <c r="C21" s="88">
        <v>2560</v>
      </c>
      <c r="D21" s="11"/>
      <c r="E21" s="11"/>
      <c r="F21" s="88">
        <v>2560</v>
      </c>
      <c r="G21" s="11">
        <v>14</v>
      </c>
      <c r="H21" s="11">
        <v>2083.04</v>
      </c>
    </row>
    <row r="22" spans="2:8" ht="21">
      <c r="B22" s="9"/>
      <c r="C22" s="88">
        <v>2561</v>
      </c>
      <c r="D22" s="9">
        <v>3</v>
      </c>
      <c r="E22" s="11">
        <f>56.4+26.32+374.12</f>
        <v>456.84000000000003</v>
      </c>
      <c r="F22" s="88">
        <v>2561</v>
      </c>
      <c r="G22" s="88"/>
      <c r="H22" s="11">
        <v>0</v>
      </c>
    </row>
    <row r="23" spans="2:8" ht="21">
      <c r="B23" s="605" t="s">
        <v>68</v>
      </c>
      <c r="C23" s="606"/>
      <c r="D23" s="79">
        <f>SUM(D16:D22)</f>
        <v>3</v>
      </c>
      <c r="E23" s="80">
        <f>SUM(E16:E22)</f>
        <v>456.84000000000003</v>
      </c>
      <c r="F23" s="80"/>
      <c r="G23" s="79">
        <f>SUM(G16:G22)</f>
        <v>18</v>
      </c>
      <c r="H23" s="80">
        <f>SUM(H16:H22)</f>
        <v>2487.97</v>
      </c>
    </row>
    <row r="24" spans="2:8" ht="21">
      <c r="B24" s="8" t="s">
        <v>75</v>
      </c>
      <c r="C24" s="174">
        <v>2555</v>
      </c>
      <c r="D24" s="10"/>
      <c r="E24" s="10">
        <v>0</v>
      </c>
      <c r="F24" s="174">
        <v>2555</v>
      </c>
      <c r="G24" s="10"/>
      <c r="H24" s="10">
        <v>0</v>
      </c>
    </row>
    <row r="25" spans="2:8" ht="21">
      <c r="B25" s="88"/>
      <c r="C25" s="88">
        <v>2556</v>
      </c>
      <c r="D25" s="11"/>
      <c r="E25" s="11"/>
      <c r="F25" s="88">
        <v>2556</v>
      </c>
      <c r="G25" s="11"/>
      <c r="H25" s="11"/>
    </row>
    <row r="26" spans="2:8" ht="21">
      <c r="B26" s="88"/>
      <c r="C26" s="88">
        <v>2557</v>
      </c>
      <c r="D26" s="11"/>
      <c r="E26" s="11"/>
      <c r="F26" s="88">
        <v>2557</v>
      </c>
      <c r="G26" s="11"/>
      <c r="H26" s="11"/>
    </row>
    <row r="27" spans="2:8" ht="21">
      <c r="B27" s="88"/>
      <c r="C27" s="88">
        <v>2558</v>
      </c>
      <c r="D27" s="11"/>
      <c r="E27" s="11"/>
      <c r="F27" s="88">
        <v>2558</v>
      </c>
      <c r="G27" s="11"/>
      <c r="H27" s="11"/>
    </row>
    <row r="28" spans="2:8" ht="21">
      <c r="B28" s="88"/>
      <c r="C28" s="88">
        <v>2559</v>
      </c>
      <c r="D28" s="11"/>
      <c r="E28" s="11"/>
      <c r="F28" s="88">
        <v>2559</v>
      </c>
      <c r="G28" s="11">
        <v>1</v>
      </c>
      <c r="H28" s="11">
        <v>16016</v>
      </c>
    </row>
    <row r="29" spans="2:8" ht="21">
      <c r="B29" s="88"/>
      <c r="C29" s="88">
        <v>2560</v>
      </c>
      <c r="D29" s="11">
        <v>1</v>
      </c>
      <c r="E29" s="11">
        <v>6575</v>
      </c>
      <c r="F29" s="88">
        <v>2560</v>
      </c>
      <c r="G29" s="11">
        <v>1</v>
      </c>
      <c r="H29" s="11">
        <v>17136</v>
      </c>
    </row>
    <row r="30" spans="2:8" ht="21">
      <c r="B30" s="9"/>
      <c r="C30" s="88">
        <v>2561</v>
      </c>
      <c r="D30" s="11">
        <v>1</v>
      </c>
      <c r="E30" s="11">
        <v>17136</v>
      </c>
      <c r="F30" s="88">
        <v>2561</v>
      </c>
      <c r="G30" s="11"/>
      <c r="H30" s="11">
        <v>0</v>
      </c>
    </row>
    <row r="31" spans="2:8" ht="21">
      <c r="B31" s="605" t="s">
        <v>68</v>
      </c>
      <c r="C31" s="606"/>
      <c r="D31" s="79">
        <f>SUM(D24:D30)</f>
        <v>2</v>
      </c>
      <c r="E31" s="80">
        <f>SUM(E24:E30)</f>
        <v>23711</v>
      </c>
      <c r="F31" s="80"/>
      <c r="G31" s="79">
        <f>SUM(G24:G30)</f>
        <v>2</v>
      </c>
      <c r="H31" s="80">
        <f>SUM(H24:H30)</f>
        <v>33152</v>
      </c>
    </row>
    <row r="32" spans="2:8" ht="21.75" thickBot="1">
      <c r="B32" s="605" t="s">
        <v>73</v>
      </c>
      <c r="C32" s="606"/>
      <c r="D32" s="81">
        <f>SUM(D15+D23+D31)</f>
        <v>6</v>
      </c>
      <c r="E32" s="82">
        <f>SUM(E15+E23+E31)</f>
        <v>33090.84</v>
      </c>
      <c r="F32" s="82"/>
      <c r="G32" s="81">
        <f>SUM(G15+G23+G31)</f>
        <v>22</v>
      </c>
      <c r="H32" s="82">
        <f>SUM(H15+H23+H31)</f>
        <v>49517.97</v>
      </c>
    </row>
    <row r="33" ht="21.75" thickTop="1"/>
    <row r="34" spans="1:8" ht="21">
      <c r="A34" s="600" t="s">
        <v>338</v>
      </c>
      <c r="B34" s="600"/>
      <c r="C34" s="600" t="s">
        <v>339</v>
      </c>
      <c r="D34" s="600"/>
      <c r="E34" s="600"/>
      <c r="F34" s="600" t="s">
        <v>342</v>
      </c>
      <c r="G34" s="600"/>
      <c r="H34" s="600"/>
    </row>
    <row r="35" spans="1:8" ht="21">
      <c r="A35" s="600" t="s">
        <v>340</v>
      </c>
      <c r="B35" s="600"/>
      <c r="C35" s="600" t="s">
        <v>372</v>
      </c>
      <c r="D35" s="600"/>
      <c r="E35" s="600"/>
      <c r="F35" s="600" t="s">
        <v>343</v>
      </c>
      <c r="G35" s="600"/>
      <c r="H35" s="600"/>
    </row>
    <row r="36" spans="2:8" ht="21">
      <c r="B36" s="94"/>
      <c r="C36" s="94"/>
      <c r="D36" s="94"/>
      <c r="E36" s="94"/>
      <c r="F36" s="95"/>
      <c r="G36" s="94"/>
      <c r="H36" s="94"/>
    </row>
  </sheetData>
  <sheetProtection/>
  <mergeCells count="16">
    <mergeCell ref="A1:H1"/>
    <mergeCell ref="A2:H2"/>
    <mergeCell ref="A3:H3"/>
    <mergeCell ref="B32:C32"/>
    <mergeCell ref="B15:C15"/>
    <mergeCell ref="B23:C23"/>
    <mergeCell ref="B31:C31"/>
    <mergeCell ref="F6:H6"/>
    <mergeCell ref="C6:E6"/>
    <mergeCell ref="B6:B7"/>
    <mergeCell ref="C34:E34"/>
    <mergeCell ref="C35:E35"/>
    <mergeCell ref="F34:H34"/>
    <mergeCell ref="F35:H35"/>
    <mergeCell ref="A34:B34"/>
    <mergeCell ref="A35:B35"/>
  </mergeCells>
  <printOptions/>
  <pageMargins left="0.5118110236220472" right="0" top="0.7480314960629921" bottom="0.7480314960629921" header="0.31496062992125984" footer="0.31496062992125984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6"/>
  <sheetViews>
    <sheetView view="pageBreakPreview" zoomScale="91" zoomScaleSheetLayoutView="91" zoomScalePageLayoutView="0" workbookViewId="0" topLeftCell="A50">
      <selection activeCell="B68" sqref="B68"/>
    </sheetView>
  </sheetViews>
  <sheetFormatPr defaultColWidth="9.140625" defaultRowHeight="15"/>
  <cols>
    <col min="1" max="1" width="24.421875" style="3" customWidth="1"/>
    <col min="2" max="2" width="39.7109375" style="3" customWidth="1"/>
    <col min="3" max="3" width="12.421875" style="3" customWidth="1"/>
    <col min="4" max="4" width="2.00390625" style="3" customWidth="1"/>
    <col min="5" max="5" width="12.421875" style="3" customWidth="1"/>
    <col min="6" max="16384" width="9.00390625" style="3" customWidth="1"/>
  </cols>
  <sheetData>
    <row r="1" spans="1:5" ht="21">
      <c r="A1" s="604" t="str">
        <f>+งบแสดงฐานะการเงิน!A1</f>
        <v>องค์การบริหารส่วนตำบลโพนทอง</v>
      </c>
      <c r="B1" s="604"/>
      <c r="C1" s="604"/>
      <c r="D1" s="604"/>
      <c r="E1" s="604"/>
    </row>
    <row r="2" spans="1:5" ht="21">
      <c r="A2" s="604" t="s">
        <v>65</v>
      </c>
      <c r="B2" s="604"/>
      <c r="C2" s="604"/>
      <c r="D2" s="604"/>
      <c r="E2" s="604"/>
    </row>
    <row r="3" spans="1:5" ht="21">
      <c r="A3" s="604" t="str">
        <f>+'หมายเหตุ 3,4,5,6'!A3:E3</f>
        <v>สำหรับปี สิ้นสุดวันที่ 30 กันยายน 2561</v>
      </c>
      <c r="B3" s="604"/>
      <c r="C3" s="604"/>
      <c r="D3" s="604"/>
      <c r="E3" s="604"/>
    </row>
    <row r="4" spans="1:5" ht="21">
      <c r="A4" s="6" t="s">
        <v>221</v>
      </c>
      <c r="C4" s="403">
        <v>2561</v>
      </c>
      <c r="D4" s="403"/>
      <c r="E4" s="403">
        <v>2560</v>
      </c>
    </row>
    <row r="5" spans="2:5" ht="21">
      <c r="B5" s="3" t="s">
        <v>222</v>
      </c>
      <c r="C5" s="71">
        <v>0</v>
      </c>
      <c r="E5" s="3">
        <v>0</v>
      </c>
    </row>
    <row r="6" spans="2:5" ht="21">
      <c r="B6" s="3" t="s">
        <v>223</v>
      </c>
      <c r="C6" s="71">
        <v>0</v>
      </c>
      <c r="E6" s="3">
        <v>0</v>
      </c>
    </row>
    <row r="7" spans="2:5" ht="21">
      <c r="B7" s="3" t="s">
        <v>195</v>
      </c>
      <c r="C7" s="71">
        <v>0</v>
      </c>
      <c r="E7" s="3">
        <v>0</v>
      </c>
    </row>
    <row r="8" spans="2:5" ht="21.75" thickBot="1">
      <c r="B8" s="155" t="s">
        <v>68</v>
      </c>
      <c r="C8" s="72">
        <f>SUM(C5:C7)</f>
        <v>0</v>
      </c>
      <c r="E8" s="72">
        <f>SUM(E5:E7)</f>
        <v>0</v>
      </c>
    </row>
    <row r="9" spans="2:5" ht="21.75" thickTop="1">
      <c r="B9" s="155"/>
      <c r="C9" s="96"/>
      <c r="E9" s="96"/>
    </row>
    <row r="10" spans="1:5" ht="21">
      <c r="A10" s="6" t="s">
        <v>224</v>
      </c>
      <c r="B10" s="155"/>
      <c r="C10" s="96"/>
      <c r="E10" s="96"/>
    </row>
    <row r="11" spans="1:5" ht="21">
      <c r="A11" s="3" t="s">
        <v>181</v>
      </c>
      <c r="B11" s="155"/>
      <c r="C11" s="96"/>
      <c r="E11" s="96"/>
    </row>
    <row r="12" spans="1:5" ht="21">
      <c r="A12" s="404" t="s">
        <v>211</v>
      </c>
      <c r="B12" s="404" t="s">
        <v>179</v>
      </c>
      <c r="C12" s="614" t="s">
        <v>30</v>
      </c>
      <c r="D12" s="614"/>
      <c r="E12" s="614"/>
    </row>
    <row r="13" spans="1:5" ht="21">
      <c r="A13" s="160" t="s">
        <v>653</v>
      </c>
      <c r="B13" s="372" t="s">
        <v>556</v>
      </c>
      <c r="C13" s="601">
        <v>38000</v>
      </c>
      <c r="D13" s="601"/>
      <c r="E13" s="601"/>
    </row>
    <row r="14" spans="1:5" ht="21">
      <c r="A14" s="160" t="s">
        <v>654</v>
      </c>
      <c r="B14" s="372" t="s">
        <v>557</v>
      </c>
      <c r="C14" s="611">
        <v>27000</v>
      </c>
      <c r="D14" s="612"/>
      <c r="E14" s="613"/>
    </row>
    <row r="15" spans="1:5" ht="21">
      <c r="A15" s="160" t="s">
        <v>652</v>
      </c>
      <c r="B15" s="372" t="s">
        <v>558</v>
      </c>
      <c r="C15" s="611">
        <v>30000</v>
      </c>
      <c r="D15" s="612"/>
      <c r="E15" s="613"/>
    </row>
    <row r="16" spans="1:5" ht="21">
      <c r="A16" s="160" t="s">
        <v>655</v>
      </c>
      <c r="B16" s="372" t="s">
        <v>559</v>
      </c>
      <c r="C16" s="611">
        <v>46000</v>
      </c>
      <c r="D16" s="612"/>
      <c r="E16" s="613"/>
    </row>
    <row r="17" spans="1:5" ht="21" hidden="1">
      <c r="A17" s="160"/>
      <c r="B17" s="372" t="s">
        <v>560</v>
      </c>
      <c r="C17" s="611">
        <v>0</v>
      </c>
      <c r="D17" s="612"/>
      <c r="E17" s="613"/>
    </row>
    <row r="18" spans="1:5" ht="21">
      <c r="A18" s="160" t="s">
        <v>656</v>
      </c>
      <c r="B18" s="372" t="s">
        <v>561</v>
      </c>
      <c r="C18" s="611">
        <v>8178</v>
      </c>
      <c r="D18" s="612"/>
      <c r="E18" s="613"/>
    </row>
    <row r="19" spans="1:5" ht="21" hidden="1">
      <c r="A19" s="160"/>
      <c r="B19" s="372" t="s">
        <v>562</v>
      </c>
      <c r="C19" s="611">
        <v>0</v>
      </c>
      <c r="D19" s="612"/>
      <c r="E19" s="613"/>
    </row>
    <row r="20" spans="1:5" ht="21">
      <c r="A20" s="160" t="s">
        <v>658</v>
      </c>
      <c r="B20" s="372" t="s">
        <v>563</v>
      </c>
      <c r="C20" s="611">
        <v>20000</v>
      </c>
      <c r="D20" s="612"/>
      <c r="E20" s="613"/>
    </row>
    <row r="21" spans="1:5" ht="21">
      <c r="A21" s="160" t="s">
        <v>659</v>
      </c>
      <c r="B21" s="372" t="s">
        <v>564</v>
      </c>
      <c r="C21" s="611">
        <v>40000</v>
      </c>
      <c r="D21" s="612"/>
      <c r="E21" s="613"/>
    </row>
    <row r="22" spans="1:5" ht="21" hidden="1">
      <c r="A22" s="160"/>
      <c r="B22" s="372" t="s">
        <v>565</v>
      </c>
      <c r="C22" s="611">
        <v>0</v>
      </c>
      <c r="D22" s="612"/>
      <c r="E22" s="613"/>
    </row>
    <row r="23" spans="1:5" ht="21" hidden="1">
      <c r="A23" s="160"/>
      <c r="B23" s="372" t="s">
        <v>566</v>
      </c>
      <c r="C23" s="611">
        <v>0</v>
      </c>
      <c r="D23" s="612"/>
      <c r="E23" s="613"/>
    </row>
    <row r="24" spans="1:5" ht="21">
      <c r="A24" s="160" t="s">
        <v>662</v>
      </c>
      <c r="B24" s="372" t="s">
        <v>567</v>
      </c>
      <c r="C24" s="611">
        <v>37500</v>
      </c>
      <c r="D24" s="612"/>
      <c r="E24" s="613"/>
    </row>
    <row r="25" spans="1:5" ht="21">
      <c r="A25" s="160" t="s">
        <v>663</v>
      </c>
      <c r="B25" s="372" t="s">
        <v>568</v>
      </c>
      <c r="C25" s="611">
        <v>37500</v>
      </c>
      <c r="D25" s="612"/>
      <c r="E25" s="613"/>
    </row>
    <row r="26" spans="1:5" ht="21">
      <c r="A26" s="160" t="s">
        <v>664</v>
      </c>
      <c r="B26" s="372" t="s">
        <v>569</v>
      </c>
      <c r="C26" s="611">
        <v>80000</v>
      </c>
      <c r="D26" s="612"/>
      <c r="E26" s="613"/>
    </row>
    <row r="27" spans="1:5" ht="21" hidden="1">
      <c r="A27" s="160"/>
      <c r="B27" s="372" t="s">
        <v>570</v>
      </c>
      <c r="C27" s="611">
        <v>0</v>
      </c>
      <c r="D27" s="612"/>
      <c r="E27" s="613"/>
    </row>
    <row r="28" spans="1:5" ht="21" hidden="1">
      <c r="A28" s="160"/>
      <c r="B28" s="372" t="s">
        <v>571</v>
      </c>
      <c r="C28" s="610">
        <v>0</v>
      </c>
      <c r="D28" s="610"/>
      <c r="E28" s="610"/>
    </row>
    <row r="29" spans="1:5" ht="21">
      <c r="A29" s="160" t="s">
        <v>661</v>
      </c>
      <c r="B29" s="372" t="s">
        <v>566</v>
      </c>
      <c r="C29" s="611">
        <v>13500</v>
      </c>
      <c r="D29" s="612"/>
      <c r="E29" s="613"/>
    </row>
    <row r="30" spans="1:5" ht="21">
      <c r="A30" s="160" t="s">
        <v>668</v>
      </c>
      <c r="B30" s="372" t="s">
        <v>572</v>
      </c>
      <c r="C30" s="611">
        <v>40000</v>
      </c>
      <c r="D30" s="612"/>
      <c r="E30" s="613"/>
    </row>
    <row r="31" spans="1:5" ht="21">
      <c r="A31" s="160" t="s">
        <v>657</v>
      </c>
      <c r="B31" s="372" t="s">
        <v>573</v>
      </c>
      <c r="C31" s="611">
        <v>40000</v>
      </c>
      <c r="D31" s="612"/>
      <c r="E31" s="613"/>
    </row>
    <row r="32" spans="1:5" ht="21">
      <c r="A32" s="160" t="s">
        <v>666</v>
      </c>
      <c r="B32" s="372" t="s">
        <v>574</v>
      </c>
      <c r="C32" s="611">
        <v>40500</v>
      </c>
      <c r="D32" s="612"/>
      <c r="E32" s="613"/>
    </row>
    <row r="33" spans="1:5" ht="21">
      <c r="A33" s="160" t="s">
        <v>665</v>
      </c>
      <c r="B33" s="372" t="s">
        <v>570</v>
      </c>
      <c r="C33" s="611">
        <v>27000</v>
      </c>
      <c r="D33" s="612"/>
      <c r="E33" s="613"/>
    </row>
    <row r="34" spans="1:5" ht="21">
      <c r="A34" s="609" t="s">
        <v>68</v>
      </c>
      <c r="B34" s="609"/>
      <c r="C34" s="601">
        <f>SUM(C13:E33)</f>
        <v>525178</v>
      </c>
      <c r="D34" s="601"/>
      <c r="E34" s="601"/>
    </row>
    <row r="35" spans="2:5" ht="19.5" customHeight="1">
      <c r="B35" s="155"/>
      <c r="C35" s="96"/>
      <c r="D35" s="71"/>
      <c r="E35" s="96"/>
    </row>
    <row r="36" spans="2:5" ht="19.5" customHeight="1">
      <c r="B36" s="155"/>
      <c r="C36" s="96"/>
      <c r="D36" s="71"/>
      <c r="E36" s="96"/>
    </row>
    <row r="37" spans="2:5" ht="19.5" customHeight="1">
      <c r="B37" s="155"/>
      <c r="C37" s="96"/>
      <c r="D37" s="71"/>
      <c r="E37" s="96"/>
    </row>
    <row r="38" spans="2:5" ht="19.5" customHeight="1">
      <c r="B38" s="155"/>
      <c r="C38" s="96"/>
      <c r="D38" s="71"/>
      <c r="E38" s="96"/>
    </row>
    <row r="39" spans="2:5" ht="19.5" customHeight="1">
      <c r="B39" s="155"/>
      <c r="C39" s="96"/>
      <c r="D39" s="71"/>
      <c r="E39" s="96"/>
    </row>
    <row r="40" spans="2:5" ht="19.5" customHeight="1">
      <c r="B40" s="155"/>
      <c r="C40" s="96"/>
      <c r="D40" s="71"/>
      <c r="E40" s="96"/>
    </row>
    <row r="41" spans="2:5" ht="19.5" customHeight="1">
      <c r="B41" s="155"/>
      <c r="C41" s="96"/>
      <c r="D41" s="71"/>
      <c r="E41" s="96"/>
    </row>
    <row r="42" spans="2:5" ht="19.5" customHeight="1">
      <c r="B42" s="155"/>
      <c r="C42" s="96"/>
      <c r="D42" s="71"/>
      <c r="E42" s="96"/>
    </row>
    <row r="43" spans="2:5" ht="19.5" customHeight="1">
      <c r="B43" s="155"/>
      <c r="C43" s="96"/>
      <c r="D43" s="71"/>
      <c r="E43" s="96"/>
    </row>
    <row r="44" spans="2:5" ht="19.5" customHeight="1">
      <c r="B44" s="403" t="s">
        <v>334</v>
      </c>
      <c r="C44" s="96"/>
      <c r="D44" s="71"/>
      <c r="E44" s="96"/>
    </row>
    <row r="45" spans="1:5" ht="21">
      <c r="A45" s="3" t="s">
        <v>218</v>
      </c>
      <c r="B45" s="155"/>
      <c r="C45" s="96"/>
      <c r="D45" s="71"/>
      <c r="E45" s="96"/>
    </row>
    <row r="46" spans="1:5" ht="21">
      <c r="A46" s="404" t="s">
        <v>211</v>
      </c>
      <c r="B46" s="404" t="s">
        <v>179</v>
      </c>
      <c r="C46" s="602" t="s">
        <v>30</v>
      </c>
      <c r="D46" s="602"/>
      <c r="E46" s="602"/>
    </row>
    <row r="47" spans="1:5" ht="21">
      <c r="A47" s="160" t="s">
        <v>653</v>
      </c>
      <c r="B47" s="372" t="s">
        <v>556</v>
      </c>
      <c r="C47" s="601">
        <v>38000</v>
      </c>
      <c r="D47" s="601"/>
      <c r="E47" s="601"/>
    </row>
    <row r="48" spans="1:5" ht="21">
      <c r="A48" s="160" t="s">
        <v>654</v>
      </c>
      <c r="B48" s="372" t="s">
        <v>557</v>
      </c>
      <c r="C48" s="611">
        <v>27000</v>
      </c>
      <c r="D48" s="612"/>
      <c r="E48" s="613"/>
    </row>
    <row r="49" spans="1:5" ht="21">
      <c r="A49" s="160" t="s">
        <v>652</v>
      </c>
      <c r="B49" s="372" t="s">
        <v>558</v>
      </c>
      <c r="C49" s="611">
        <v>36700</v>
      </c>
      <c r="D49" s="612"/>
      <c r="E49" s="613"/>
    </row>
    <row r="50" spans="1:5" ht="21">
      <c r="A50" s="160" t="s">
        <v>655</v>
      </c>
      <c r="B50" s="372" t="s">
        <v>559</v>
      </c>
      <c r="C50" s="611">
        <v>60000</v>
      </c>
      <c r="D50" s="612"/>
      <c r="E50" s="613"/>
    </row>
    <row r="51" spans="1:5" ht="21">
      <c r="A51" s="160" t="s">
        <v>655</v>
      </c>
      <c r="B51" s="372" t="s">
        <v>560</v>
      </c>
      <c r="C51" s="611">
        <v>10000</v>
      </c>
      <c r="D51" s="612"/>
      <c r="E51" s="613"/>
    </row>
    <row r="52" spans="1:5" ht="21">
      <c r="A52" s="160" t="s">
        <v>656</v>
      </c>
      <c r="B52" s="372" t="s">
        <v>561</v>
      </c>
      <c r="C52" s="611">
        <v>8178</v>
      </c>
      <c r="D52" s="612"/>
      <c r="E52" s="613"/>
    </row>
    <row r="53" spans="1:5" ht="21">
      <c r="A53" s="160" t="s">
        <v>657</v>
      </c>
      <c r="B53" s="372" t="s">
        <v>562</v>
      </c>
      <c r="C53" s="611">
        <v>16000</v>
      </c>
      <c r="D53" s="612"/>
      <c r="E53" s="613"/>
    </row>
    <row r="54" spans="1:5" ht="21">
      <c r="A54" s="160" t="s">
        <v>658</v>
      </c>
      <c r="B54" s="372" t="s">
        <v>563</v>
      </c>
      <c r="C54" s="611">
        <v>40000</v>
      </c>
      <c r="D54" s="612"/>
      <c r="E54" s="613"/>
    </row>
    <row r="55" spans="1:5" ht="21">
      <c r="A55" s="160" t="s">
        <v>659</v>
      </c>
      <c r="B55" s="372" t="s">
        <v>667</v>
      </c>
      <c r="C55" s="611">
        <v>60000</v>
      </c>
      <c r="D55" s="612"/>
      <c r="E55" s="613"/>
    </row>
    <row r="56" spans="1:5" ht="21">
      <c r="A56" s="160" t="s">
        <v>660</v>
      </c>
      <c r="B56" s="372" t="s">
        <v>565</v>
      </c>
      <c r="C56" s="611">
        <v>40000</v>
      </c>
      <c r="D56" s="612"/>
      <c r="E56" s="613"/>
    </row>
    <row r="57" spans="1:5" ht="21">
      <c r="A57" s="160" t="s">
        <v>661</v>
      </c>
      <c r="B57" s="372" t="s">
        <v>566</v>
      </c>
      <c r="C57" s="611">
        <v>13500</v>
      </c>
      <c r="D57" s="612"/>
      <c r="E57" s="613"/>
    </row>
    <row r="58" spans="1:5" ht="21">
      <c r="A58" s="160" t="s">
        <v>662</v>
      </c>
      <c r="B58" s="372" t="s">
        <v>567</v>
      </c>
      <c r="C58" s="611">
        <v>50000</v>
      </c>
      <c r="D58" s="612"/>
      <c r="E58" s="613"/>
    </row>
    <row r="59" spans="1:5" ht="21">
      <c r="A59" s="160" t="s">
        <v>663</v>
      </c>
      <c r="B59" s="372" t="s">
        <v>568</v>
      </c>
      <c r="C59" s="611">
        <v>37500</v>
      </c>
      <c r="D59" s="612"/>
      <c r="E59" s="613"/>
    </row>
    <row r="60" spans="1:5" ht="21">
      <c r="A60" s="160" t="s">
        <v>664</v>
      </c>
      <c r="B60" s="372" t="s">
        <v>569</v>
      </c>
      <c r="C60" s="611">
        <v>80000</v>
      </c>
      <c r="D60" s="612"/>
      <c r="E60" s="613"/>
    </row>
    <row r="61" spans="1:5" ht="21">
      <c r="A61" s="160" t="s">
        <v>665</v>
      </c>
      <c r="B61" s="372" t="s">
        <v>570</v>
      </c>
      <c r="C61" s="611">
        <v>27000</v>
      </c>
      <c r="D61" s="612"/>
      <c r="E61" s="613"/>
    </row>
    <row r="62" spans="1:5" ht="21">
      <c r="A62" s="160" t="s">
        <v>666</v>
      </c>
      <c r="B62" s="372" t="s">
        <v>571</v>
      </c>
      <c r="C62" s="610">
        <v>40500</v>
      </c>
      <c r="D62" s="610"/>
      <c r="E62" s="610"/>
    </row>
    <row r="63" spans="1:5" ht="21">
      <c r="A63" s="609" t="s">
        <v>68</v>
      </c>
      <c r="B63" s="609"/>
      <c r="C63" s="601">
        <f>SUM(C47:E62)</f>
        <v>584378</v>
      </c>
      <c r="D63" s="601"/>
      <c r="E63" s="601"/>
    </row>
    <row r="65" spans="1:5" ht="21">
      <c r="A65" s="6" t="s">
        <v>225</v>
      </c>
      <c r="C65" s="403">
        <v>2561</v>
      </c>
      <c r="D65" s="403"/>
      <c r="E65" s="403">
        <v>2560</v>
      </c>
    </row>
    <row r="66" spans="2:5" ht="21">
      <c r="B66" s="3" t="s">
        <v>226</v>
      </c>
      <c r="C66" s="71">
        <v>0</v>
      </c>
      <c r="E66" s="71">
        <v>0</v>
      </c>
    </row>
    <row r="67" spans="2:3" ht="21">
      <c r="B67" s="3" t="s">
        <v>195</v>
      </c>
      <c r="C67" s="71"/>
    </row>
    <row r="68" spans="2:5" ht="21.75" thickBot="1">
      <c r="B68" s="155" t="s">
        <v>68</v>
      </c>
      <c r="C68" s="72">
        <f>SUM(C66:C67)</f>
        <v>0</v>
      </c>
      <c r="E68" s="72">
        <f>SUM(E66:E67)</f>
        <v>0</v>
      </c>
    </row>
    <row r="69" spans="2:5" ht="3.75" customHeight="1" thickTop="1">
      <c r="B69" s="155"/>
      <c r="C69" s="96"/>
      <c r="E69" s="96"/>
    </row>
    <row r="70" spans="2:5" ht="3.75" customHeight="1">
      <c r="B70" s="155"/>
      <c r="C70" s="96"/>
      <c r="E70" s="96"/>
    </row>
    <row r="71" spans="2:5" ht="3.75" customHeight="1">
      <c r="B71" s="155"/>
      <c r="C71" s="96"/>
      <c r="E71" s="96"/>
    </row>
    <row r="72" spans="2:5" ht="3.75" customHeight="1">
      <c r="B72" s="155"/>
      <c r="C72" s="96"/>
      <c r="E72" s="96"/>
    </row>
    <row r="75" spans="1:5" ht="21">
      <c r="A75" s="5" t="s">
        <v>338</v>
      </c>
      <c r="B75" s="5" t="s">
        <v>339</v>
      </c>
      <c r="C75" s="600" t="s">
        <v>342</v>
      </c>
      <c r="D75" s="600"/>
      <c r="E75" s="600"/>
    </row>
    <row r="76" spans="1:5" ht="21">
      <c r="A76" s="5" t="s">
        <v>340</v>
      </c>
      <c r="B76" s="5" t="s">
        <v>372</v>
      </c>
      <c r="C76" s="600" t="s">
        <v>343</v>
      </c>
      <c r="D76" s="600"/>
      <c r="E76" s="600"/>
    </row>
  </sheetData>
  <sheetProtection/>
  <mergeCells count="48">
    <mergeCell ref="C21:E21"/>
    <mergeCell ref="C22:E22"/>
    <mergeCell ref="C19:E19"/>
    <mergeCell ref="C20:E20"/>
    <mergeCell ref="C33:E33"/>
    <mergeCell ref="C28:E28"/>
    <mergeCell ref="C29:E29"/>
    <mergeCell ref="C30:E30"/>
    <mergeCell ref="C32:E32"/>
    <mergeCell ref="C31:E31"/>
    <mergeCell ref="C60:E60"/>
    <mergeCell ref="C61:E61"/>
    <mergeCell ref="C51:E51"/>
    <mergeCell ref="C52:E52"/>
    <mergeCell ref="C53:E53"/>
    <mergeCell ref="C54:E54"/>
    <mergeCell ref="C55:E55"/>
    <mergeCell ref="C56:E56"/>
    <mergeCell ref="C26:E26"/>
    <mergeCell ref="C57:E57"/>
    <mergeCell ref="C58:E58"/>
    <mergeCell ref="C59:E59"/>
    <mergeCell ref="C27:E27"/>
    <mergeCell ref="C23:E23"/>
    <mergeCell ref="C24:E24"/>
    <mergeCell ref="C25:E25"/>
    <mergeCell ref="C49:E49"/>
    <mergeCell ref="C50:E50"/>
    <mergeCell ref="C12:E12"/>
    <mergeCell ref="A1:E1"/>
    <mergeCell ref="A2:E2"/>
    <mergeCell ref="A3:E3"/>
    <mergeCell ref="C17:E17"/>
    <mergeCell ref="C18:E18"/>
    <mergeCell ref="C13:E13"/>
    <mergeCell ref="C14:E14"/>
    <mergeCell ref="C15:E15"/>
    <mergeCell ref="C16:E16"/>
    <mergeCell ref="C75:E75"/>
    <mergeCell ref="C76:E76"/>
    <mergeCell ref="C34:E34"/>
    <mergeCell ref="A34:B34"/>
    <mergeCell ref="C46:E46"/>
    <mergeCell ref="C47:E47"/>
    <mergeCell ref="C62:E62"/>
    <mergeCell ref="A63:B63"/>
    <mergeCell ref="C63:E63"/>
    <mergeCell ref="C48:E48"/>
  </mergeCells>
  <printOptions/>
  <pageMargins left="0.7086614173228347" right="0.7086614173228347" top="0.7480314960629921" bottom="0.15748031496062992" header="0.31496062992125984" footer="0.31496062992125984"/>
  <pageSetup horizontalDpi="600" verticalDpi="600" orientation="portrait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2"/>
  <sheetViews>
    <sheetView view="pageBreakPreview" zoomScaleSheetLayoutView="100" zoomScalePageLayoutView="0" workbookViewId="0" topLeftCell="A16">
      <selection activeCell="A29" sqref="A29:IV29"/>
    </sheetView>
  </sheetViews>
  <sheetFormatPr defaultColWidth="9.140625" defaultRowHeight="15"/>
  <cols>
    <col min="1" max="1" width="20.57421875" style="3" customWidth="1"/>
    <col min="2" max="2" width="39.00390625" style="3" customWidth="1"/>
    <col min="3" max="3" width="15.00390625" style="3" customWidth="1"/>
    <col min="4" max="4" width="3.00390625" style="3" customWidth="1"/>
    <col min="5" max="5" width="13.421875" style="3" customWidth="1"/>
    <col min="6" max="16384" width="9.00390625" style="3" customWidth="1"/>
  </cols>
  <sheetData>
    <row r="1" spans="1:5" ht="21">
      <c r="A1" s="604" t="str">
        <f>+งบแสดงฐานะการเงิน!A1</f>
        <v>องค์การบริหารส่วนตำบลโพนทอง</v>
      </c>
      <c r="B1" s="604"/>
      <c r="C1" s="604"/>
      <c r="D1" s="604"/>
      <c r="E1" s="604"/>
    </row>
    <row r="2" spans="1:5" ht="21">
      <c r="A2" s="604" t="s">
        <v>65</v>
      </c>
      <c r="B2" s="604"/>
      <c r="C2" s="604"/>
      <c r="D2" s="604"/>
      <c r="E2" s="604"/>
    </row>
    <row r="3" spans="1:5" ht="21">
      <c r="A3" s="604" t="str">
        <f>+'หมายเหตุ 3,4,5,6'!A3:E3</f>
        <v>สำหรับปี สิ้นสุดวันที่ 30 กันยายน 2561</v>
      </c>
      <c r="B3" s="604"/>
      <c r="C3" s="604"/>
      <c r="D3" s="604"/>
      <c r="E3" s="604"/>
    </row>
    <row r="4" ht="1.5" customHeight="1"/>
    <row r="5" spans="1:5" ht="21">
      <c r="A5" s="6" t="s">
        <v>276</v>
      </c>
      <c r="B5" s="155"/>
      <c r="C5" s="96"/>
      <c r="E5" s="96"/>
    </row>
    <row r="6" spans="1:5" ht="21">
      <c r="A6" s="3" t="s">
        <v>181</v>
      </c>
      <c r="B6" s="155"/>
      <c r="C6" s="96"/>
      <c r="E6" s="96"/>
    </row>
    <row r="7" spans="1:5" ht="21">
      <c r="A7" s="159" t="s">
        <v>211</v>
      </c>
      <c r="B7" s="159" t="s">
        <v>31</v>
      </c>
      <c r="C7" s="614" t="s">
        <v>30</v>
      </c>
      <c r="D7" s="614"/>
      <c r="E7" s="614"/>
    </row>
    <row r="8" spans="1:5" ht="21">
      <c r="A8" s="160"/>
      <c r="B8" s="161"/>
      <c r="C8" s="601">
        <v>0</v>
      </c>
      <c r="D8" s="601"/>
      <c r="E8" s="601"/>
    </row>
    <row r="9" spans="1:5" ht="21">
      <c r="A9" s="160"/>
      <c r="B9" s="161"/>
      <c r="C9" s="601">
        <v>0</v>
      </c>
      <c r="D9" s="601"/>
      <c r="E9" s="601"/>
    </row>
    <row r="10" spans="1:5" ht="21">
      <c r="A10" s="609" t="s">
        <v>68</v>
      </c>
      <c r="B10" s="609"/>
      <c r="C10" s="601">
        <f>SUM(C8:E9)</f>
        <v>0</v>
      </c>
      <c r="D10" s="601"/>
      <c r="E10" s="601"/>
    </row>
    <row r="11" spans="2:5" ht="4.5" customHeight="1">
      <c r="B11" s="155"/>
      <c r="C11" s="96"/>
      <c r="D11" s="71"/>
      <c r="E11" s="96"/>
    </row>
    <row r="12" spans="1:5" ht="21">
      <c r="A12" s="3" t="s">
        <v>218</v>
      </c>
      <c r="B12" s="155"/>
      <c r="C12" s="96"/>
      <c r="D12" s="71"/>
      <c r="E12" s="96"/>
    </row>
    <row r="13" spans="1:5" ht="21">
      <c r="A13" s="159" t="s">
        <v>211</v>
      </c>
      <c r="B13" s="159" t="s">
        <v>31</v>
      </c>
      <c r="C13" s="602" t="s">
        <v>30</v>
      </c>
      <c r="D13" s="602"/>
      <c r="E13" s="602"/>
    </row>
    <row r="14" spans="1:5" ht="21">
      <c r="A14" s="160"/>
      <c r="B14" s="161"/>
      <c r="C14" s="601">
        <v>0</v>
      </c>
      <c r="D14" s="601"/>
      <c r="E14" s="601"/>
    </row>
    <row r="15" spans="1:5" ht="21">
      <c r="A15" s="160"/>
      <c r="B15" s="161"/>
      <c r="C15" s="601">
        <v>0</v>
      </c>
      <c r="D15" s="601"/>
      <c r="E15" s="601"/>
    </row>
    <row r="16" spans="1:5" ht="21">
      <c r="A16" s="609" t="s">
        <v>68</v>
      </c>
      <c r="B16" s="609"/>
      <c r="C16" s="601">
        <f>SUM(C14:E15)</f>
        <v>0</v>
      </c>
      <c r="D16" s="601"/>
      <c r="E16" s="601"/>
    </row>
    <row r="17" spans="1:5" ht="12.75" customHeight="1">
      <c r="A17" s="232"/>
      <c r="B17" s="232"/>
      <c r="C17" s="233"/>
      <c r="D17" s="233"/>
      <c r="E17" s="233"/>
    </row>
    <row r="18" spans="1:5" ht="21">
      <c r="A18" s="6" t="s">
        <v>277</v>
      </c>
      <c r="C18" s="188">
        <v>2561</v>
      </c>
      <c r="D18" s="188"/>
      <c r="E18" s="188">
        <v>2560</v>
      </c>
    </row>
    <row r="19" spans="2:5" ht="21">
      <c r="B19" s="3" t="s">
        <v>227</v>
      </c>
      <c r="C19" s="71">
        <v>0</v>
      </c>
      <c r="E19" s="71">
        <v>0</v>
      </c>
    </row>
    <row r="20" spans="2:5" ht="21">
      <c r="B20" s="3" t="s">
        <v>195</v>
      </c>
      <c r="C20" s="71">
        <v>0</v>
      </c>
      <c r="E20" s="71"/>
    </row>
    <row r="21" spans="2:5" ht="21.75" thickBot="1">
      <c r="B21" s="155" t="s">
        <v>68</v>
      </c>
      <c r="C21" s="72">
        <f>SUM(C19:C20)</f>
        <v>0</v>
      </c>
      <c r="E21" s="72">
        <f>SUM(E19:E20)</f>
        <v>0</v>
      </c>
    </row>
    <row r="22" ht="9" customHeight="1" thickTop="1"/>
    <row r="23" spans="1:5" ht="21">
      <c r="A23" s="6" t="s">
        <v>228</v>
      </c>
      <c r="C23" s="109">
        <v>2561</v>
      </c>
      <c r="D23" s="109"/>
      <c r="E23" s="188">
        <v>2560</v>
      </c>
    </row>
    <row r="24" spans="2:5" ht="21">
      <c r="B24" s="3" t="s">
        <v>229</v>
      </c>
      <c r="C24" s="71">
        <v>0</v>
      </c>
      <c r="E24" s="71">
        <v>0</v>
      </c>
    </row>
    <row r="25" spans="2:5" ht="21">
      <c r="B25" s="3" t="s">
        <v>230</v>
      </c>
      <c r="C25" s="71">
        <v>0</v>
      </c>
      <c r="E25" s="71">
        <v>0</v>
      </c>
    </row>
    <row r="26" spans="2:3" ht="21">
      <c r="B26" s="3" t="s">
        <v>195</v>
      </c>
      <c r="C26" s="71">
        <v>0</v>
      </c>
    </row>
    <row r="27" spans="2:5" ht="21.75" thickBot="1">
      <c r="B27" s="155" t="s">
        <v>68</v>
      </c>
      <c r="C27" s="72">
        <f>SUM(C24:C26)</f>
        <v>0</v>
      </c>
      <c r="E27" s="72">
        <f>SUM(E24:E26)</f>
        <v>0</v>
      </c>
    </row>
    <row r="28" ht="21.75" thickTop="1"/>
    <row r="31" spans="1:5" ht="21">
      <c r="A31" s="3" t="s">
        <v>338</v>
      </c>
      <c r="B31" s="5" t="s">
        <v>339</v>
      </c>
      <c r="C31" s="600" t="s">
        <v>342</v>
      </c>
      <c r="D31" s="600"/>
      <c r="E31" s="600"/>
    </row>
    <row r="32" spans="1:5" ht="21">
      <c r="A32" s="3" t="s">
        <v>340</v>
      </c>
      <c r="B32" s="5" t="s">
        <v>372</v>
      </c>
      <c r="C32" s="600" t="s">
        <v>343</v>
      </c>
      <c r="D32" s="600"/>
      <c r="E32" s="600"/>
    </row>
  </sheetData>
  <sheetProtection/>
  <mergeCells count="15">
    <mergeCell ref="A1:E1"/>
    <mergeCell ref="A2:E2"/>
    <mergeCell ref="A3:E3"/>
    <mergeCell ref="C7:E7"/>
    <mergeCell ref="C8:E8"/>
    <mergeCell ref="C9:E9"/>
    <mergeCell ref="C31:E31"/>
    <mergeCell ref="C32:E32"/>
    <mergeCell ref="A10:B10"/>
    <mergeCell ref="C10:E10"/>
    <mergeCell ref="C13:E13"/>
    <mergeCell ref="C14:E14"/>
    <mergeCell ref="C15:E15"/>
    <mergeCell ref="A16:B16"/>
    <mergeCell ref="C16:E16"/>
  </mergeCells>
  <printOptions/>
  <pageMargins left="0.11811023622047245" right="0.31496062992125984" top="0.7480314960629921" bottom="0.35433070866141736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90"/>
  <sheetViews>
    <sheetView tabSelected="1" view="pageBreakPreview" zoomScale="91" zoomScaleSheetLayoutView="91" zoomScalePageLayoutView="0" workbookViewId="0" topLeftCell="A1">
      <selection activeCell="F17" sqref="F17"/>
    </sheetView>
  </sheetViews>
  <sheetFormatPr defaultColWidth="9.140625" defaultRowHeight="15"/>
  <cols>
    <col min="1" max="1" width="12.00390625" style="83" customWidth="1"/>
    <col min="2" max="2" width="16.421875" style="83" customWidth="1"/>
    <col min="3" max="3" width="19.421875" style="83" customWidth="1"/>
    <col min="4" max="4" width="16.421875" style="83" customWidth="1"/>
    <col min="5" max="5" width="19.28125" style="83" customWidth="1"/>
    <col min="6" max="6" width="25.421875" style="83" customWidth="1"/>
    <col min="7" max="7" width="17.8515625" style="83" customWidth="1"/>
    <col min="8" max="16384" width="9.00390625" style="83" customWidth="1"/>
  </cols>
  <sheetData>
    <row r="1" spans="1:7" ht="18.75">
      <c r="A1" s="618" t="str">
        <f>+งบแสดงฐานะการเงิน!A1</f>
        <v>องค์การบริหารส่วนตำบลโพนทอง</v>
      </c>
      <c r="B1" s="618"/>
      <c r="C1" s="618"/>
      <c r="D1" s="618"/>
      <c r="E1" s="618"/>
      <c r="F1" s="618"/>
      <c r="G1" s="618"/>
    </row>
    <row r="2" spans="1:7" ht="18.75">
      <c r="A2" s="618" t="s">
        <v>65</v>
      </c>
      <c r="B2" s="618"/>
      <c r="C2" s="618"/>
      <c r="D2" s="618"/>
      <c r="E2" s="618"/>
      <c r="F2" s="618"/>
      <c r="G2" s="618"/>
    </row>
    <row r="3" spans="1:7" ht="18.75">
      <c r="A3" s="618" t="s">
        <v>205</v>
      </c>
      <c r="B3" s="618"/>
      <c r="C3" s="618"/>
      <c r="D3" s="618"/>
      <c r="E3" s="618"/>
      <c r="F3" s="618"/>
      <c r="G3" s="618"/>
    </row>
    <row r="4" ht="6.75" customHeight="1"/>
    <row r="5" s="167" customFormat="1" ht="23.25">
      <c r="A5" s="166" t="s">
        <v>231</v>
      </c>
    </row>
    <row r="6" ht="9" customHeight="1">
      <c r="A6" s="84"/>
    </row>
    <row r="7" ht="21.75" customHeight="1">
      <c r="A7" s="84" t="s">
        <v>181</v>
      </c>
    </row>
    <row r="8" spans="1:7" ht="18.75">
      <c r="A8" s="162" t="s">
        <v>76</v>
      </c>
      <c r="B8" s="162" t="s">
        <v>77</v>
      </c>
      <c r="C8" s="162" t="s">
        <v>78</v>
      </c>
      <c r="D8" s="162" t="s">
        <v>79</v>
      </c>
      <c r="E8" s="162" t="s">
        <v>80</v>
      </c>
      <c r="F8" s="162" t="s">
        <v>81</v>
      </c>
      <c r="G8" s="162" t="s">
        <v>30</v>
      </c>
    </row>
    <row r="9" spans="1:7" ht="22.5" customHeight="1">
      <c r="A9" s="163" t="s">
        <v>575</v>
      </c>
      <c r="B9" s="163" t="s">
        <v>300</v>
      </c>
      <c r="C9" s="168" t="s">
        <v>576</v>
      </c>
      <c r="D9" s="163" t="s">
        <v>45</v>
      </c>
      <c r="E9" s="168" t="s">
        <v>577</v>
      </c>
      <c r="F9" s="168" t="s">
        <v>582</v>
      </c>
      <c r="G9" s="164">
        <v>181640</v>
      </c>
    </row>
    <row r="10" spans="1:7" ht="22.5" customHeight="1">
      <c r="A10" s="89" t="s">
        <v>575</v>
      </c>
      <c r="B10" s="89" t="s">
        <v>300</v>
      </c>
      <c r="C10" s="169" t="s">
        <v>580</v>
      </c>
      <c r="D10" s="89" t="s">
        <v>45</v>
      </c>
      <c r="E10" s="169" t="s">
        <v>578</v>
      </c>
      <c r="F10" s="169" t="s">
        <v>582</v>
      </c>
      <c r="G10" s="85">
        <v>113210</v>
      </c>
    </row>
    <row r="11" spans="1:7" ht="22.5" customHeight="1">
      <c r="A11" s="89" t="s">
        <v>575</v>
      </c>
      <c r="B11" s="88" t="s">
        <v>153</v>
      </c>
      <c r="C11" s="373" t="s">
        <v>581</v>
      </c>
      <c r="D11" s="89" t="s">
        <v>45</v>
      </c>
      <c r="E11" s="169" t="s">
        <v>579</v>
      </c>
      <c r="F11" s="169" t="s">
        <v>582</v>
      </c>
      <c r="G11" s="85">
        <v>133730</v>
      </c>
    </row>
    <row r="12" spans="1:7" ht="22.5" customHeight="1">
      <c r="A12" s="89" t="s">
        <v>575</v>
      </c>
      <c r="B12" s="89" t="s">
        <v>583</v>
      </c>
      <c r="C12" s="373" t="s">
        <v>584</v>
      </c>
      <c r="D12" s="89" t="s">
        <v>45</v>
      </c>
      <c r="E12" s="169"/>
      <c r="F12" s="169" t="s">
        <v>582</v>
      </c>
      <c r="G12" s="85">
        <v>56260</v>
      </c>
    </row>
    <row r="13" spans="1:7" ht="22.5" customHeight="1">
      <c r="A13" s="89" t="s">
        <v>575</v>
      </c>
      <c r="B13" s="89" t="s">
        <v>585</v>
      </c>
      <c r="C13" s="373" t="s">
        <v>586</v>
      </c>
      <c r="D13" s="89" t="s">
        <v>45</v>
      </c>
      <c r="E13" s="169"/>
      <c r="F13" s="169" t="s">
        <v>582</v>
      </c>
      <c r="G13" s="85">
        <v>42040</v>
      </c>
    </row>
    <row r="14" spans="1:7" ht="22.5" customHeight="1">
      <c r="A14" s="89" t="s">
        <v>575</v>
      </c>
      <c r="B14" s="89" t="s">
        <v>587</v>
      </c>
      <c r="C14" s="373" t="s">
        <v>588</v>
      </c>
      <c r="D14" s="89" t="s">
        <v>45</v>
      </c>
      <c r="E14" s="169"/>
      <c r="F14" s="169" t="s">
        <v>582</v>
      </c>
      <c r="G14" s="85">
        <v>44600</v>
      </c>
    </row>
    <row r="15" spans="1:7" ht="80.25" customHeight="1">
      <c r="A15" s="374" t="s">
        <v>575</v>
      </c>
      <c r="B15" s="374" t="s">
        <v>300</v>
      </c>
      <c r="C15" s="375" t="s">
        <v>576</v>
      </c>
      <c r="D15" s="374" t="s">
        <v>48</v>
      </c>
      <c r="E15" s="169" t="s">
        <v>592</v>
      </c>
      <c r="F15" s="169" t="s">
        <v>592</v>
      </c>
      <c r="G15" s="417">
        <v>18000</v>
      </c>
    </row>
    <row r="16" spans="1:7" ht="22.5" customHeight="1">
      <c r="A16" s="89" t="s">
        <v>575</v>
      </c>
      <c r="B16" s="89" t="s">
        <v>153</v>
      </c>
      <c r="C16" s="373" t="s">
        <v>581</v>
      </c>
      <c r="D16" s="89" t="s">
        <v>47</v>
      </c>
      <c r="E16" s="169" t="s">
        <v>710</v>
      </c>
      <c r="F16" s="169" t="s">
        <v>589</v>
      </c>
      <c r="G16" s="85">
        <v>3000</v>
      </c>
    </row>
    <row r="17" spans="1:7" ht="68.25" customHeight="1">
      <c r="A17" s="538" t="s">
        <v>575</v>
      </c>
      <c r="B17" s="538" t="s">
        <v>587</v>
      </c>
      <c r="C17" s="538" t="s">
        <v>596</v>
      </c>
      <c r="D17" s="374" t="s">
        <v>50</v>
      </c>
      <c r="E17" s="375" t="s">
        <v>629</v>
      </c>
      <c r="F17" s="169" t="s">
        <v>606</v>
      </c>
      <c r="G17" s="85">
        <v>346000</v>
      </c>
    </row>
    <row r="18" spans="1:7" s="379" customFormat="1" ht="80.25" customHeight="1">
      <c r="A18" s="374" t="s">
        <v>604</v>
      </c>
      <c r="B18" s="374" t="s">
        <v>153</v>
      </c>
      <c r="C18" s="374" t="s">
        <v>590</v>
      </c>
      <c r="D18" s="374" t="s">
        <v>50</v>
      </c>
      <c r="E18" s="375" t="s">
        <v>629</v>
      </c>
      <c r="F18" s="375" t="s">
        <v>605</v>
      </c>
      <c r="G18" s="378">
        <v>100000</v>
      </c>
    </row>
    <row r="19" spans="1:7" ht="19.5" thickBot="1">
      <c r="A19" s="615" t="s">
        <v>68</v>
      </c>
      <c r="B19" s="616"/>
      <c r="C19" s="616"/>
      <c r="D19" s="616"/>
      <c r="E19" s="616"/>
      <c r="F19" s="617"/>
      <c r="G19" s="86">
        <f>SUM(G9:G18)</f>
        <v>1038480</v>
      </c>
    </row>
    <row r="20" ht="21.75" customHeight="1" thickTop="1">
      <c r="A20" s="84" t="s">
        <v>218</v>
      </c>
    </row>
    <row r="21" spans="1:7" ht="18.75">
      <c r="A21" s="162" t="s">
        <v>76</v>
      </c>
      <c r="B21" s="162" t="s">
        <v>77</v>
      </c>
      <c r="C21" s="162" t="s">
        <v>78</v>
      </c>
      <c r="D21" s="162" t="s">
        <v>79</v>
      </c>
      <c r="E21" s="162" t="s">
        <v>80</v>
      </c>
      <c r="F21" s="162" t="s">
        <v>81</v>
      </c>
      <c r="G21" s="162" t="s">
        <v>30</v>
      </c>
    </row>
    <row r="22" spans="1:7" ht="22.5" customHeight="1">
      <c r="A22" s="163" t="s">
        <v>575</v>
      </c>
      <c r="B22" s="163" t="s">
        <v>300</v>
      </c>
      <c r="C22" s="168" t="s">
        <v>576</v>
      </c>
      <c r="D22" s="163" t="s">
        <v>45</v>
      </c>
      <c r="E22" s="168" t="s">
        <v>577</v>
      </c>
      <c r="F22" s="168" t="s">
        <v>582</v>
      </c>
      <c r="G22" s="164">
        <v>180490</v>
      </c>
    </row>
    <row r="23" spans="1:7" ht="22.5" customHeight="1">
      <c r="A23" s="89" t="s">
        <v>575</v>
      </c>
      <c r="B23" s="89" t="s">
        <v>300</v>
      </c>
      <c r="C23" s="169" t="s">
        <v>580</v>
      </c>
      <c r="D23" s="89" t="s">
        <v>45</v>
      </c>
      <c r="E23" s="169" t="s">
        <v>578</v>
      </c>
      <c r="F23" s="169" t="s">
        <v>582</v>
      </c>
      <c r="G23" s="85">
        <v>106490</v>
      </c>
    </row>
    <row r="24" spans="1:7" ht="22.5" customHeight="1">
      <c r="A24" s="89" t="s">
        <v>575</v>
      </c>
      <c r="B24" s="88" t="s">
        <v>153</v>
      </c>
      <c r="C24" s="373" t="s">
        <v>581</v>
      </c>
      <c r="D24" s="89" t="s">
        <v>45</v>
      </c>
      <c r="E24" s="169" t="s">
        <v>579</v>
      </c>
      <c r="F24" s="169" t="s">
        <v>582</v>
      </c>
      <c r="G24" s="85">
        <v>118440</v>
      </c>
    </row>
    <row r="25" spans="1:7" ht="22.5" customHeight="1">
      <c r="A25" s="89" t="s">
        <v>575</v>
      </c>
      <c r="B25" s="89" t="s">
        <v>583</v>
      </c>
      <c r="C25" s="373" t="s">
        <v>584</v>
      </c>
      <c r="D25" s="89" t="s">
        <v>45</v>
      </c>
      <c r="E25" s="169"/>
      <c r="F25" s="169" t="s">
        <v>582</v>
      </c>
      <c r="G25" s="85">
        <v>52670</v>
      </c>
    </row>
    <row r="26" spans="1:7" ht="22.5" customHeight="1">
      <c r="A26" s="89" t="s">
        <v>575</v>
      </c>
      <c r="B26" s="89" t="s">
        <v>585</v>
      </c>
      <c r="C26" s="373" t="s">
        <v>586</v>
      </c>
      <c r="D26" s="89" t="s">
        <v>45</v>
      </c>
      <c r="E26" s="169"/>
      <c r="F26" s="169" t="s">
        <v>582</v>
      </c>
      <c r="G26" s="85">
        <v>25470</v>
      </c>
    </row>
    <row r="27" spans="1:7" ht="22.5" customHeight="1">
      <c r="A27" s="89" t="s">
        <v>575</v>
      </c>
      <c r="B27" s="89" t="s">
        <v>587</v>
      </c>
      <c r="C27" s="373" t="s">
        <v>588</v>
      </c>
      <c r="D27" s="89" t="s">
        <v>45</v>
      </c>
      <c r="E27" s="169"/>
      <c r="F27" s="169" t="s">
        <v>582</v>
      </c>
      <c r="G27" s="85">
        <v>59810</v>
      </c>
    </row>
    <row r="28" spans="1:7" ht="22.5" customHeight="1">
      <c r="A28" s="89" t="s">
        <v>575</v>
      </c>
      <c r="B28" s="89" t="s">
        <v>153</v>
      </c>
      <c r="C28" s="373" t="s">
        <v>581</v>
      </c>
      <c r="D28" s="89" t="s">
        <v>47</v>
      </c>
      <c r="E28" s="169"/>
      <c r="F28" s="169" t="s">
        <v>589</v>
      </c>
      <c r="G28" s="85">
        <v>3000</v>
      </c>
    </row>
    <row r="29" spans="1:7" ht="22.5" customHeight="1">
      <c r="A29" s="89" t="s">
        <v>575</v>
      </c>
      <c r="B29" s="89" t="s">
        <v>153</v>
      </c>
      <c r="C29" s="169" t="s">
        <v>590</v>
      </c>
      <c r="D29" s="89" t="s">
        <v>47</v>
      </c>
      <c r="E29" s="169"/>
      <c r="F29" s="169" t="s">
        <v>591</v>
      </c>
      <c r="G29" s="85">
        <v>39725.6</v>
      </c>
    </row>
    <row r="30" spans="1:7" ht="60.75" customHeight="1">
      <c r="A30" s="374" t="s">
        <v>575</v>
      </c>
      <c r="B30" s="374" t="s">
        <v>300</v>
      </c>
      <c r="C30" s="375" t="s">
        <v>576</v>
      </c>
      <c r="D30" s="374" t="s">
        <v>48</v>
      </c>
      <c r="E30" s="169" t="s">
        <v>592</v>
      </c>
      <c r="F30" s="169" t="s">
        <v>592</v>
      </c>
      <c r="G30" s="378">
        <v>18000</v>
      </c>
    </row>
    <row r="31" spans="1:7" ht="21" customHeight="1">
      <c r="A31" s="89" t="s">
        <v>575</v>
      </c>
      <c r="B31" s="89" t="s">
        <v>153</v>
      </c>
      <c r="C31" s="375" t="s">
        <v>590</v>
      </c>
      <c r="D31" s="374" t="s">
        <v>593</v>
      </c>
      <c r="E31" s="169" t="s">
        <v>594</v>
      </c>
      <c r="F31" s="169" t="s">
        <v>594</v>
      </c>
      <c r="G31" s="85">
        <v>15566</v>
      </c>
    </row>
    <row r="32" spans="1:7" ht="22.5" customHeight="1">
      <c r="A32" s="89" t="s">
        <v>575</v>
      </c>
      <c r="B32" s="89" t="s">
        <v>153</v>
      </c>
      <c r="C32" s="375" t="s">
        <v>590</v>
      </c>
      <c r="D32" s="374" t="s">
        <v>45</v>
      </c>
      <c r="E32" s="169" t="s">
        <v>595</v>
      </c>
      <c r="F32" s="169" t="s">
        <v>595</v>
      </c>
      <c r="G32" s="85">
        <v>3800</v>
      </c>
    </row>
    <row r="33" spans="1:7" ht="42.75" customHeight="1">
      <c r="A33" s="376" t="s">
        <v>575</v>
      </c>
      <c r="B33" s="374" t="s">
        <v>587</v>
      </c>
      <c r="C33" s="375" t="s">
        <v>596</v>
      </c>
      <c r="D33" s="374" t="s">
        <v>50</v>
      </c>
      <c r="E33" s="375" t="s">
        <v>629</v>
      </c>
      <c r="F33" s="169" t="s">
        <v>597</v>
      </c>
      <c r="G33" s="85">
        <v>366000</v>
      </c>
    </row>
    <row r="34" spans="1:7" ht="40.5" customHeight="1">
      <c r="A34" s="376" t="s">
        <v>575</v>
      </c>
      <c r="B34" s="374" t="s">
        <v>587</v>
      </c>
      <c r="C34" s="375" t="s">
        <v>596</v>
      </c>
      <c r="D34" s="374" t="s">
        <v>50</v>
      </c>
      <c r="E34" s="375" t="s">
        <v>629</v>
      </c>
      <c r="F34" s="169" t="s">
        <v>598</v>
      </c>
      <c r="G34" s="85">
        <v>317000</v>
      </c>
    </row>
    <row r="35" spans="1:7" ht="43.5" customHeight="1">
      <c r="A35" s="376" t="s">
        <v>575</v>
      </c>
      <c r="B35" s="374" t="s">
        <v>587</v>
      </c>
      <c r="C35" s="375" t="s">
        <v>596</v>
      </c>
      <c r="D35" s="374" t="s">
        <v>50</v>
      </c>
      <c r="E35" s="375" t="s">
        <v>629</v>
      </c>
      <c r="F35" s="169" t="s">
        <v>599</v>
      </c>
      <c r="G35" s="85">
        <v>195900</v>
      </c>
    </row>
    <row r="36" spans="1:7" ht="45.75" customHeight="1">
      <c r="A36" s="376" t="s">
        <v>575</v>
      </c>
      <c r="B36" s="374" t="s">
        <v>587</v>
      </c>
      <c r="C36" s="375" t="s">
        <v>596</v>
      </c>
      <c r="D36" s="374" t="s">
        <v>50</v>
      </c>
      <c r="E36" s="375" t="s">
        <v>629</v>
      </c>
      <c r="F36" s="169" t="s">
        <v>600</v>
      </c>
      <c r="G36" s="85">
        <v>100000</v>
      </c>
    </row>
    <row r="37" spans="1:7" s="293" customFormat="1" ht="15" customHeight="1">
      <c r="A37" s="381"/>
      <c r="B37" s="382"/>
      <c r="C37" s="383"/>
      <c r="D37" s="382"/>
      <c r="E37" s="383"/>
      <c r="F37" s="384"/>
      <c r="G37" s="385"/>
    </row>
    <row r="38" spans="1:7" ht="18.75">
      <c r="A38" s="380" t="s">
        <v>76</v>
      </c>
      <c r="B38" s="380" t="s">
        <v>77</v>
      </c>
      <c r="C38" s="380" t="s">
        <v>78</v>
      </c>
      <c r="D38" s="380" t="s">
        <v>79</v>
      </c>
      <c r="E38" s="380" t="s">
        <v>80</v>
      </c>
      <c r="F38" s="380" t="s">
        <v>81</v>
      </c>
      <c r="G38" s="380" t="s">
        <v>30</v>
      </c>
    </row>
    <row r="39" spans="1:7" ht="45.75" customHeight="1">
      <c r="A39" s="376" t="s">
        <v>575</v>
      </c>
      <c r="B39" s="374" t="s">
        <v>587</v>
      </c>
      <c r="C39" s="375" t="s">
        <v>596</v>
      </c>
      <c r="D39" s="374" t="s">
        <v>50</v>
      </c>
      <c r="E39" s="375" t="s">
        <v>629</v>
      </c>
      <c r="F39" s="169" t="s">
        <v>601</v>
      </c>
      <c r="G39" s="85">
        <v>56000</v>
      </c>
    </row>
    <row r="40" spans="1:7" ht="45.75" customHeight="1">
      <c r="A40" s="376" t="s">
        <v>575</v>
      </c>
      <c r="B40" s="374" t="s">
        <v>587</v>
      </c>
      <c r="C40" s="375" t="s">
        <v>596</v>
      </c>
      <c r="D40" s="374" t="s">
        <v>50</v>
      </c>
      <c r="E40" s="375" t="s">
        <v>629</v>
      </c>
      <c r="F40" s="169" t="s">
        <v>602</v>
      </c>
      <c r="G40" s="85">
        <v>85000</v>
      </c>
    </row>
    <row r="41" spans="1:7" ht="54.75" customHeight="1">
      <c r="A41" s="376" t="s">
        <v>604</v>
      </c>
      <c r="B41" s="374" t="s">
        <v>587</v>
      </c>
      <c r="C41" s="375" t="s">
        <v>596</v>
      </c>
      <c r="D41" s="374" t="s">
        <v>50</v>
      </c>
      <c r="E41" s="375" t="s">
        <v>629</v>
      </c>
      <c r="F41" s="169" t="s">
        <v>603</v>
      </c>
      <c r="G41" s="85">
        <v>3546763.24</v>
      </c>
    </row>
    <row r="42" spans="1:7" ht="19.5" thickBot="1">
      <c r="A42" s="615" t="s">
        <v>68</v>
      </c>
      <c r="B42" s="616"/>
      <c r="C42" s="616"/>
      <c r="D42" s="616"/>
      <c r="E42" s="616"/>
      <c r="F42" s="617"/>
      <c r="G42" s="377">
        <f>SUM(G22:G41)</f>
        <v>5290124.84</v>
      </c>
    </row>
    <row r="43" ht="11.25" customHeight="1" thickTop="1"/>
    <row r="44" s="167" customFormat="1" ht="23.25">
      <c r="A44" s="166" t="s">
        <v>232</v>
      </c>
    </row>
    <row r="45" ht="9" customHeight="1">
      <c r="A45" s="84"/>
    </row>
    <row r="46" ht="21.75" customHeight="1">
      <c r="A46" s="84" t="s">
        <v>181</v>
      </c>
    </row>
    <row r="47" spans="1:7" ht="18.75">
      <c r="A47" s="162" t="s">
        <v>76</v>
      </c>
      <c r="B47" s="162" t="s">
        <v>77</v>
      </c>
      <c r="C47" s="162" t="s">
        <v>78</v>
      </c>
      <c r="D47" s="162" t="s">
        <v>79</v>
      </c>
      <c r="E47" s="162" t="s">
        <v>80</v>
      </c>
      <c r="F47" s="162" t="s">
        <v>81</v>
      </c>
      <c r="G47" s="162" t="s">
        <v>30</v>
      </c>
    </row>
    <row r="48" spans="1:7" ht="22.5" customHeight="1">
      <c r="A48" s="163"/>
      <c r="B48" s="163"/>
      <c r="C48" s="168"/>
      <c r="D48" s="163"/>
      <c r="E48" s="168"/>
      <c r="F48" s="168"/>
      <c r="G48" s="164">
        <v>0</v>
      </c>
    </row>
    <row r="49" spans="1:7" ht="22.5" customHeight="1">
      <c r="A49" s="165"/>
      <c r="B49" s="165"/>
      <c r="C49" s="170"/>
      <c r="D49" s="165"/>
      <c r="E49" s="170"/>
      <c r="F49" s="170"/>
      <c r="G49" s="103">
        <v>0</v>
      </c>
    </row>
    <row r="50" spans="1:7" ht="19.5" thickBot="1">
      <c r="A50" s="615" t="s">
        <v>68</v>
      </c>
      <c r="B50" s="616"/>
      <c r="C50" s="616"/>
      <c r="D50" s="616"/>
      <c r="E50" s="616"/>
      <c r="F50" s="617"/>
      <c r="G50" s="86">
        <f>SUM(G48:G49)</f>
        <v>0</v>
      </c>
    </row>
    <row r="51" ht="21.75" customHeight="1" thickTop="1">
      <c r="A51" s="84" t="s">
        <v>218</v>
      </c>
    </row>
    <row r="52" spans="1:7" ht="18.75">
      <c r="A52" s="162" t="s">
        <v>76</v>
      </c>
      <c r="B52" s="162" t="s">
        <v>77</v>
      </c>
      <c r="C52" s="162" t="s">
        <v>78</v>
      </c>
      <c r="D52" s="162" t="s">
        <v>79</v>
      </c>
      <c r="E52" s="162" t="s">
        <v>80</v>
      </c>
      <c r="F52" s="162" t="s">
        <v>81</v>
      </c>
      <c r="G52" s="162" t="s">
        <v>30</v>
      </c>
    </row>
    <row r="53" spans="1:7" ht="22.5" customHeight="1">
      <c r="A53" s="163"/>
      <c r="B53" s="163"/>
      <c r="C53" s="168"/>
      <c r="D53" s="163"/>
      <c r="E53" s="168"/>
      <c r="F53" s="168"/>
      <c r="G53" s="164">
        <v>0</v>
      </c>
    </row>
    <row r="54" spans="1:7" ht="22.5" customHeight="1">
      <c r="A54" s="89"/>
      <c r="B54" s="89"/>
      <c r="C54" s="169"/>
      <c r="D54" s="89"/>
      <c r="E54" s="169"/>
      <c r="F54" s="169"/>
      <c r="G54" s="85">
        <v>0</v>
      </c>
    </row>
    <row r="55" spans="1:7" ht="22.5" customHeight="1">
      <c r="A55" s="165"/>
      <c r="B55" s="165"/>
      <c r="C55" s="170"/>
      <c r="D55" s="165"/>
      <c r="E55" s="170"/>
      <c r="F55" s="170"/>
      <c r="G55" s="103">
        <v>0</v>
      </c>
    </row>
    <row r="56" spans="1:7" ht="19.5" thickBot="1">
      <c r="A56" s="615" t="s">
        <v>68</v>
      </c>
      <c r="B56" s="616"/>
      <c r="C56" s="616"/>
      <c r="D56" s="616"/>
      <c r="E56" s="616"/>
      <c r="F56" s="617"/>
      <c r="G56" s="86">
        <f>SUM(G53:G55)</f>
        <v>0</v>
      </c>
    </row>
    <row r="57" ht="19.5" thickTop="1"/>
    <row r="58" spans="1:7" s="167" customFormat="1" ht="23.25">
      <c r="A58" s="166" t="s">
        <v>233</v>
      </c>
      <c r="E58" s="109">
        <v>2561</v>
      </c>
      <c r="F58" s="109"/>
      <c r="G58" s="188">
        <v>2560</v>
      </c>
    </row>
    <row r="59" spans="2:7" s="3" customFormat="1" ht="21">
      <c r="B59" s="3" t="s">
        <v>352</v>
      </c>
      <c r="E59" s="71">
        <v>640453</v>
      </c>
      <c r="G59" s="71">
        <v>689578.5</v>
      </c>
    </row>
    <row r="60" spans="2:7" s="3" customFormat="1" ht="21">
      <c r="B60" s="3" t="s">
        <v>607</v>
      </c>
      <c r="E60" s="71">
        <v>2309.69</v>
      </c>
      <c r="G60" s="71">
        <v>2151.54</v>
      </c>
    </row>
    <row r="61" spans="2:7" s="3" customFormat="1" ht="21">
      <c r="B61" s="3" t="s">
        <v>608</v>
      </c>
      <c r="E61" s="71">
        <v>19334.96</v>
      </c>
      <c r="G61" s="71">
        <f>8906.71+1000</f>
        <v>9906.71</v>
      </c>
    </row>
    <row r="62" spans="2:7" s="3" customFormat="1" ht="21">
      <c r="B62" s="3" t="s">
        <v>356</v>
      </c>
      <c r="E62" s="71">
        <v>900000</v>
      </c>
      <c r="G62" s="71">
        <v>900000</v>
      </c>
    </row>
    <row r="63" spans="2:7" s="3" customFormat="1" ht="21">
      <c r="B63" s="3" t="s">
        <v>357</v>
      </c>
      <c r="E63" s="71">
        <v>115823.51</v>
      </c>
      <c r="G63" s="71">
        <v>112077.78</v>
      </c>
    </row>
    <row r="64" spans="2:7" s="3" customFormat="1" ht="21">
      <c r="B64" s="3" t="s">
        <v>620</v>
      </c>
      <c r="E64" s="71">
        <v>250</v>
      </c>
      <c r="G64" s="71">
        <v>0</v>
      </c>
    </row>
    <row r="65" spans="2:7" s="3" customFormat="1" ht="21">
      <c r="B65" s="3" t="s">
        <v>609</v>
      </c>
      <c r="E65" s="71">
        <v>1.09</v>
      </c>
      <c r="G65" s="71">
        <v>1.09</v>
      </c>
    </row>
    <row r="66" spans="2:7" s="3" customFormat="1" ht="21">
      <c r="B66" s="6" t="s">
        <v>68</v>
      </c>
      <c r="E66" s="297">
        <f>SUM(E59:E65)</f>
        <v>1678172.25</v>
      </c>
      <c r="G66" s="297">
        <f>SUM(G59:G65)</f>
        <v>1713715.62</v>
      </c>
    </row>
    <row r="67" spans="2:7" s="3" customFormat="1" ht="21">
      <c r="B67" s="3" t="s">
        <v>610</v>
      </c>
      <c r="E67" s="71">
        <v>76146</v>
      </c>
      <c r="G67" s="71">
        <v>76146</v>
      </c>
    </row>
    <row r="68" spans="2:7" s="3" customFormat="1" ht="21">
      <c r="B68" s="386" t="s">
        <v>611</v>
      </c>
      <c r="E68" s="71">
        <v>18000</v>
      </c>
      <c r="G68" s="71">
        <v>18000</v>
      </c>
    </row>
    <row r="69" spans="2:7" s="3" customFormat="1" ht="21">
      <c r="B69" s="6" t="s">
        <v>68</v>
      </c>
      <c r="E69" s="297">
        <f>SUM(E67:E68)</f>
        <v>94146</v>
      </c>
      <c r="G69" s="297">
        <f>SUM(G67:G68)</f>
        <v>94146</v>
      </c>
    </row>
    <row r="70" spans="2:7" s="3" customFormat="1" ht="21">
      <c r="B70" s="6" t="s">
        <v>612</v>
      </c>
      <c r="E70" s="71"/>
      <c r="G70" s="71"/>
    </row>
    <row r="71" spans="2:7" s="3" customFormat="1" ht="21">
      <c r="B71" s="3" t="s">
        <v>613</v>
      </c>
      <c r="E71" s="71">
        <v>21800</v>
      </c>
      <c r="G71" s="71">
        <v>21800</v>
      </c>
    </row>
    <row r="72" spans="2:7" s="3" customFormat="1" ht="21">
      <c r="B72" s="3" t="s">
        <v>614</v>
      </c>
      <c r="E72" s="71">
        <v>0</v>
      </c>
      <c r="G72" s="71">
        <v>0</v>
      </c>
    </row>
    <row r="73" spans="2:7" s="3" customFormat="1" ht="21">
      <c r="B73" s="3" t="s">
        <v>615</v>
      </c>
      <c r="E73" s="71">
        <v>9206</v>
      </c>
      <c r="G73" s="71">
        <v>9206</v>
      </c>
    </row>
    <row r="74" spans="2:7" s="3" customFormat="1" ht="21">
      <c r="B74" s="3" t="s">
        <v>616</v>
      </c>
      <c r="E74" s="71">
        <v>108358</v>
      </c>
      <c r="G74" s="71">
        <v>108358</v>
      </c>
    </row>
    <row r="75" spans="2:7" s="3" customFormat="1" ht="21">
      <c r="B75" s="3" t="s">
        <v>617</v>
      </c>
      <c r="E75" s="71">
        <v>23235</v>
      </c>
      <c r="G75" s="71">
        <v>23235</v>
      </c>
    </row>
    <row r="76" spans="2:7" s="3" customFormat="1" ht="21">
      <c r="B76" s="3" t="s">
        <v>618</v>
      </c>
      <c r="E76" s="71">
        <v>1562</v>
      </c>
      <c r="G76" s="71">
        <v>1562</v>
      </c>
    </row>
    <row r="77" spans="2:7" ht="21">
      <c r="B77" s="3" t="s">
        <v>619</v>
      </c>
      <c r="E77" s="71">
        <v>230</v>
      </c>
      <c r="F77" s="3"/>
      <c r="G77" s="71">
        <v>230</v>
      </c>
    </row>
    <row r="78" spans="2:7" ht="21">
      <c r="B78" s="3" t="s">
        <v>621</v>
      </c>
      <c r="E78" s="71">
        <v>1989</v>
      </c>
      <c r="F78" s="3"/>
      <c r="G78" s="71">
        <v>0</v>
      </c>
    </row>
    <row r="79" spans="2:7" ht="21">
      <c r="B79" s="6" t="s">
        <v>68</v>
      </c>
      <c r="E79" s="297">
        <f>SUM(E71:E78)</f>
        <v>166380</v>
      </c>
      <c r="F79" s="3"/>
      <c r="G79" s="297">
        <f>SUM(G71:G78)</f>
        <v>164391</v>
      </c>
    </row>
    <row r="80" spans="2:7" ht="21.75" thickBot="1">
      <c r="B80" s="6" t="s">
        <v>73</v>
      </c>
      <c r="E80" s="387">
        <f>+E66+E69+E79</f>
        <v>1938698.25</v>
      </c>
      <c r="F80" s="3"/>
      <c r="G80" s="387">
        <f>+G66+G69+G79</f>
        <v>1972252.62</v>
      </c>
    </row>
    <row r="81" ht="19.5" thickTop="1"/>
    <row r="82" spans="1:7" s="167" customFormat="1" ht="23.25">
      <c r="A82" s="166" t="s">
        <v>234</v>
      </c>
      <c r="E82" s="109">
        <v>2561</v>
      </c>
      <c r="F82" s="109"/>
      <c r="G82" s="188">
        <v>2560</v>
      </c>
    </row>
    <row r="83" spans="2:7" s="3" customFormat="1" ht="21">
      <c r="B83" s="3" t="s">
        <v>236</v>
      </c>
      <c r="E83" s="71">
        <v>0</v>
      </c>
      <c r="G83" s="3">
        <v>0</v>
      </c>
    </row>
    <row r="84" spans="2:7" s="3" customFormat="1" ht="21">
      <c r="B84" s="3" t="s">
        <v>235</v>
      </c>
      <c r="E84" s="71">
        <v>0</v>
      </c>
      <c r="G84" s="3">
        <v>0</v>
      </c>
    </row>
    <row r="85" spans="2:7" ht="21.75" thickBot="1">
      <c r="B85" s="6" t="s">
        <v>68</v>
      </c>
      <c r="E85" s="72">
        <f>SUM(E83:E84)</f>
        <v>0</v>
      </c>
      <c r="F85" s="3"/>
      <c r="G85" s="72">
        <f>SUM(G83:G84)</f>
        <v>0</v>
      </c>
    </row>
    <row r="86" ht="19.5" thickTop="1"/>
    <row r="87" ht="21.75" customHeight="1"/>
    <row r="88" spans="1:7" s="3" customFormat="1" ht="21">
      <c r="A88" s="600" t="s">
        <v>338</v>
      </c>
      <c r="B88" s="600"/>
      <c r="D88" s="600" t="s">
        <v>339</v>
      </c>
      <c r="E88" s="600"/>
      <c r="F88" s="600" t="s">
        <v>342</v>
      </c>
      <c r="G88" s="600"/>
    </row>
    <row r="89" spans="1:7" s="3" customFormat="1" ht="21">
      <c r="A89" s="600" t="s">
        <v>340</v>
      </c>
      <c r="B89" s="600"/>
      <c r="D89" s="600" t="s">
        <v>372</v>
      </c>
      <c r="E89" s="600"/>
      <c r="F89" s="600" t="s">
        <v>343</v>
      </c>
      <c r="G89" s="600"/>
    </row>
    <row r="90" ht="18.75">
      <c r="A90" s="83" t="s">
        <v>704</v>
      </c>
    </row>
  </sheetData>
  <sheetProtection/>
  <mergeCells count="13">
    <mergeCell ref="A42:F42"/>
    <mergeCell ref="A50:F50"/>
    <mergeCell ref="A56:F56"/>
    <mergeCell ref="A1:G1"/>
    <mergeCell ref="A2:G2"/>
    <mergeCell ref="A3:G3"/>
    <mergeCell ref="A19:F19"/>
    <mergeCell ref="A88:B88"/>
    <mergeCell ref="A89:B89"/>
    <mergeCell ref="D88:E88"/>
    <mergeCell ref="D89:E89"/>
    <mergeCell ref="F88:G88"/>
    <mergeCell ref="F89:G89"/>
  </mergeCells>
  <printOptions/>
  <pageMargins left="0.5118110236220472" right="0.31496062992125984" top="0.35433070866141736" bottom="0.1968503937007874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9"/>
  <sheetViews>
    <sheetView zoomScaleSheetLayoutView="110" zoomScalePageLayoutView="0" workbookViewId="0" topLeftCell="A1">
      <selection activeCell="F30" sqref="F30"/>
    </sheetView>
  </sheetViews>
  <sheetFormatPr defaultColWidth="9.140625" defaultRowHeight="15"/>
  <cols>
    <col min="1" max="1" width="9.00390625" style="3" customWidth="1"/>
    <col min="2" max="2" width="12.421875" style="3" customWidth="1"/>
    <col min="3" max="3" width="13.00390625" style="3" customWidth="1"/>
    <col min="4" max="4" width="10.7109375" style="3" customWidth="1"/>
    <col min="5" max="5" width="11.00390625" style="3" customWidth="1"/>
    <col min="6" max="6" width="12.7109375" style="3" customWidth="1"/>
    <col min="7" max="7" width="14.421875" style="3" customWidth="1"/>
    <col min="8" max="16384" width="9.00390625" style="3" customWidth="1"/>
  </cols>
  <sheetData>
    <row r="1" spans="1:8" ht="21">
      <c r="A1" s="604" t="str">
        <f>+งบแสดงฐานะการเงิน!A1</f>
        <v>องค์การบริหารส่วนตำบลโพนทอง</v>
      </c>
      <c r="B1" s="604"/>
      <c r="C1" s="604"/>
      <c r="D1" s="604"/>
      <c r="E1" s="604"/>
      <c r="F1" s="604"/>
      <c r="G1" s="604"/>
      <c r="H1" s="604"/>
    </row>
    <row r="2" spans="1:7" ht="21">
      <c r="A2" s="604" t="s">
        <v>65</v>
      </c>
      <c r="B2" s="604"/>
      <c r="C2" s="604"/>
      <c r="D2" s="604"/>
      <c r="E2" s="604"/>
      <c r="F2" s="604"/>
      <c r="G2" s="604"/>
    </row>
    <row r="3" spans="1:7" ht="21">
      <c r="A3" s="604" t="str">
        <f>+'หมายเหตุ 3,4,5,6'!A3:E3</f>
        <v>สำหรับปี สิ้นสุดวันที่ 30 กันยายน 2561</v>
      </c>
      <c r="B3" s="604"/>
      <c r="C3" s="604"/>
      <c r="D3" s="604"/>
      <c r="E3" s="604"/>
      <c r="F3" s="604"/>
      <c r="G3" s="604"/>
    </row>
    <row r="5" ht="21">
      <c r="A5" s="6" t="s">
        <v>237</v>
      </c>
    </row>
    <row r="6" spans="1:6" ht="21">
      <c r="A6" s="3" t="s">
        <v>181</v>
      </c>
      <c r="B6" s="55"/>
      <c r="F6" s="56"/>
    </row>
    <row r="7" spans="1:7" ht="21">
      <c r="A7" s="619" t="s">
        <v>238</v>
      </c>
      <c r="B7" s="622" t="s">
        <v>239</v>
      </c>
      <c r="C7" s="619" t="s">
        <v>240</v>
      </c>
      <c r="D7" s="607" t="s">
        <v>241</v>
      </c>
      <c r="E7" s="607"/>
      <c r="F7" s="623" t="s">
        <v>244</v>
      </c>
      <c r="G7" s="619" t="s">
        <v>245</v>
      </c>
    </row>
    <row r="8" spans="1:7" ht="21">
      <c r="A8" s="620"/>
      <c r="B8" s="620"/>
      <c r="C8" s="620"/>
      <c r="D8" s="171" t="s">
        <v>242</v>
      </c>
      <c r="E8" s="171" t="s">
        <v>243</v>
      </c>
      <c r="F8" s="620"/>
      <c r="G8" s="620"/>
    </row>
    <row r="9" spans="1:7" ht="21">
      <c r="A9" s="174"/>
      <c r="B9" s="175"/>
      <c r="C9" s="174"/>
      <c r="D9" s="174"/>
      <c r="E9" s="174"/>
      <c r="F9" s="176">
        <v>0</v>
      </c>
      <c r="G9" s="174"/>
    </row>
    <row r="10" spans="1:7" ht="21">
      <c r="A10" s="78"/>
      <c r="B10" s="177"/>
      <c r="C10" s="78"/>
      <c r="D10" s="78"/>
      <c r="E10" s="78"/>
      <c r="F10" s="178">
        <v>0</v>
      </c>
      <c r="G10" s="78"/>
    </row>
    <row r="11" spans="1:7" ht="21">
      <c r="A11" s="605" t="s">
        <v>68</v>
      </c>
      <c r="B11" s="621"/>
      <c r="C11" s="226">
        <f>SUM(C9:C10)</f>
        <v>0</v>
      </c>
      <c r="D11" s="172"/>
      <c r="E11" s="172"/>
      <c r="F11" s="173">
        <f>SUM(F9:F10)</f>
        <v>0</v>
      </c>
      <c r="G11" s="226"/>
    </row>
    <row r="12" spans="1:6" ht="21">
      <c r="A12" s="3" t="s">
        <v>278</v>
      </c>
      <c r="B12" s="55"/>
      <c r="F12" s="56"/>
    </row>
    <row r="13" spans="2:6" ht="21">
      <c r="B13" s="55"/>
      <c r="F13" s="56"/>
    </row>
    <row r="14" spans="1:6" ht="21">
      <c r="A14" s="3" t="s">
        <v>218</v>
      </c>
      <c r="B14" s="55"/>
      <c r="F14" s="56"/>
    </row>
    <row r="15" spans="1:7" ht="21">
      <c r="A15" s="619" t="s">
        <v>238</v>
      </c>
      <c r="B15" s="622" t="s">
        <v>239</v>
      </c>
      <c r="C15" s="619" t="s">
        <v>240</v>
      </c>
      <c r="D15" s="607" t="s">
        <v>241</v>
      </c>
      <c r="E15" s="607"/>
      <c r="F15" s="623" t="s">
        <v>244</v>
      </c>
      <c r="G15" s="619" t="s">
        <v>245</v>
      </c>
    </row>
    <row r="16" spans="1:7" ht="21">
      <c r="A16" s="620"/>
      <c r="B16" s="620"/>
      <c r="C16" s="620"/>
      <c r="D16" s="171" t="s">
        <v>242</v>
      </c>
      <c r="E16" s="171" t="s">
        <v>243</v>
      </c>
      <c r="F16" s="620"/>
      <c r="G16" s="620"/>
    </row>
    <row r="17" spans="1:7" ht="21">
      <c r="A17" s="174"/>
      <c r="B17" s="175"/>
      <c r="C17" s="174"/>
      <c r="D17" s="174"/>
      <c r="E17" s="174"/>
      <c r="F17" s="176">
        <v>0</v>
      </c>
      <c r="G17" s="174"/>
    </row>
    <row r="18" spans="1:7" ht="21">
      <c r="A18" s="78"/>
      <c r="B18" s="177"/>
      <c r="C18" s="78"/>
      <c r="D18" s="78"/>
      <c r="E18" s="78"/>
      <c r="F18" s="178">
        <v>0</v>
      </c>
      <c r="G18" s="78"/>
    </row>
    <row r="19" spans="1:7" ht="21">
      <c r="A19" s="605" t="s">
        <v>68</v>
      </c>
      <c r="B19" s="621"/>
      <c r="C19" s="226">
        <f>SUM(C17:C18)</f>
        <v>0</v>
      </c>
      <c r="D19" s="172"/>
      <c r="E19" s="172"/>
      <c r="F19" s="173">
        <f>SUM(F17:F18)</f>
        <v>0</v>
      </c>
      <c r="G19" s="172"/>
    </row>
    <row r="20" spans="1:6" ht="21">
      <c r="A20" s="3" t="s">
        <v>278</v>
      </c>
      <c r="B20" s="55"/>
      <c r="F20" s="56"/>
    </row>
    <row r="21" spans="2:6" ht="21">
      <c r="B21" s="55"/>
      <c r="E21" s="71"/>
      <c r="F21" s="56"/>
    </row>
    <row r="22" spans="1:7" ht="21">
      <c r="A22" s="6" t="s">
        <v>246</v>
      </c>
      <c r="E22" s="109">
        <v>2561</v>
      </c>
      <c r="F22" s="109"/>
      <c r="G22" s="188">
        <v>2560</v>
      </c>
    </row>
    <row r="23" spans="2:7" ht="21">
      <c r="B23" s="3" t="s">
        <v>247</v>
      </c>
      <c r="E23" s="71">
        <v>0</v>
      </c>
      <c r="G23" s="71">
        <v>0</v>
      </c>
    </row>
    <row r="24" spans="2:7" ht="21">
      <c r="B24" s="3" t="s">
        <v>248</v>
      </c>
      <c r="E24" s="71">
        <v>0</v>
      </c>
      <c r="G24" s="71">
        <v>0</v>
      </c>
    </row>
    <row r="25" spans="2:7" ht="21.75" thickBot="1">
      <c r="B25" s="6" t="s">
        <v>68</v>
      </c>
      <c r="E25" s="72">
        <f>SUM(E23:E24)</f>
        <v>0</v>
      </c>
      <c r="G25" s="72">
        <f>SUM(G23:G24)</f>
        <v>0</v>
      </c>
    </row>
    <row r="26" ht="21.75" thickTop="1"/>
    <row r="28" spans="1:8" ht="21">
      <c r="A28" s="600" t="s">
        <v>338</v>
      </c>
      <c r="B28" s="600"/>
      <c r="D28" s="600" t="s">
        <v>339</v>
      </c>
      <c r="E28" s="600"/>
      <c r="F28" s="600" t="s">
        <v>342</v>
      </c>
      <c r="G28" s="600"/>
      <c r="H28" s="600"/>
    </row>
    <row r="29" spans="1:8" ht="21">
      <c r="A29" s="600" t="s">
        <v>340</v>
      </c>
      <c r="B29" s="600"/>
      <c r="D29" s="600" t="s">
        <v>372</v>
      </c>
      <c r="E29" s="600"/>
      <c r="F29" s="600" t="s">
        <v>343</v>
      </c>
      <c r="G29" s="600"/>
      <c r="H29" s="600"/>
    </row>
  </sheetData>
  <sheetProtection/>
  <mergeCells count="23">
    <mergeCell ref="A3:G3"/>
    <mergeCell ref="D7:E7"/>
    <mergeCell ref="A7:A8"/>
    <mergeCell ref="B7:B8"/>
    <mergeCell ref="C7:C8"/>
    <mergeCell ref="F7:F8"/>
    <mergeCell ref="G7:G8"/>
    <mergeCell ref="A1:H1"/>
    <mergeCell ref="G15:G16"/>
    <mergeCell ref="A19:B19"/>
    <mergeCell ref="A11:B11"/>
    <mergeCell ref="A15:A16"/>
    <mergeCell ref="B15:B16"/>
    <mergeCell ref="C15:C16"/>
    <mergeCell ref="D15:E15"/>
    <mergeCell ref="F15:F16"/>
    <mergeCell ref="A2:G2"/>
    <mergeCell ref="A28:B28"/>
    <mergeCell ref="D28:E28"/>
    <mergeCell ref="F28:H28"/>
    <mergeCell ref="F29:H29"/>
    <mergeCell ref="D29:E29"/>
    <mergeCell ref="A29:B29"/>
  </mergeCells>
  <printOptions horizontalCentered="1"/>
  <pageMargins left="0.25" right="0.25" top="0.75" bottom="0.75" header="0.3" footer="0.3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7"/>
  <sheetViews>
    <sheetView view="pageBreakPreview" zoomScaleSheetLayoutView="100" zoomScalePageLayoutView="0" workbookViewId="0" topLeftCell="A13">
      <selection activeCell="F31" sqref="F31"/>
    </sheetView>
  </sheetViews>
  <sheetFormatPr defaultColWidth="9.140625" defaultRowHeight="15"/>
  <cols>
    <col min="1" max="1" width="0.85546875" style="3" customWidth="1"/>
    <col min="2" max="2" width="3.57421875" style="3" customWidth="1"/>
    <col min="3" max="3" width="36.7109375" style="3" customWidth="1"/>
    <col min="4" max="4" width="12.421875" style="3" customWidth="1"/>
    <col min="5" max="5" width="10.7109375" style="3" customWidth="1"/>
    <col min="6" max="6" width="12.8515625" style="3" customWidth="1"/>
    <col min="7" max="7" width="12.421875" style="3" customWidth="1"/>
    <col min="8" max="8" width="12.57421875" style="3" customWidth="1"/>
    <col min="9" max="9" width="13.8515625" style="3" customWidth="1"/>
    <col min="10" max="10" width="13.28125" style="3" customWidth="1"/>
    <col min="11" max="11" width="12.28125" style="3" bestFit="1" customWidth="1"/>
    <col min="12" max="16384" width="9.00390625" style="3" customWidth="1"/>
  </cols>
  <sheetData>
    <row r="1" spans="1:9" s="83" customFormat="1" ht="18.75">
      <c r="A1" s="618" t="str">
        <f>+งบแสดงฐานะการเงิน!A1</f>
        <v>องค์การบริหารส่วนตำบลโพนทอง</v>
      </c>
      <c r="B1" s="618"/>
      <c r="C1" s="618"/>
      <c r="D1" s="618"/>
      <c r="E1" s="618"/>
      <c r="F1" s="618"/>
      <c r="G1" s="618"/>
      <c r="H1" s="618"/>
      <c r="I1" s="618"/>
    </row>
    <row r="2" spans="1:9" s="83" customFormat="1" ht="18.75">
      <c r="A2" s="618" t="s">
        <v>65</v>
      </c>
      <c r="B2" s="618"/>
      <c r="C2" s="618"/>
      <c r="D2" s="618"/>
      <c r="E2" s="618"/>
      <c r="F2" s="618"/>
      <c r="G2" s="618"/>
      <c r="H2" s="618"/>
      <c r="I2" s="618"/>
    </row>
    <row r="3" spans="1:9" s="83" customFormat="1" ht="18.75">
      <c r="A3" s="618" t="str">
        <f>+'หมายเหตุ 3,4,5,6'!A3:E3</f>
        <v>สำหรับปี สิ้นสุดวันที่ 30 กันยายน 2561</v>
      </c>
      <c r="B3" s="618"/>
      <c r="C3" s="618"/>
      <c r="D3" s="618"/>
      <c r="E3" s="618"/>
      <c r="F3" s="618"/>
      <c r="G3" s="618"/>
      <c r="H3" s="618"/>
      <c r="I3" s="618"/>
    </row>
    <row r="4" s="83" customFormat="1" ht="18.75">
      <c r="A4" s="84" t="s">
        <v>257</v>
      </c>
    </row>
    <row r="5" spans="1:9" s="83" customFormat="1" ht="18.75">
      <c r="A5" s="418"/>
      <c r="B5" s="418"/>
      <c r="C5" s="418"/>
      <c r="D5" s="627">
        <v>2561</v>
      </c>
      <c r="E5" s="627"/>
      <c r="F5" s="627"/>
      <c r="G5" s="628">
        <v>2560</v>
      </c>
      <c r="H5" s="628"/>
      <c r="I5" s="628"/>
    </row>
    <row r="6" spans="1:9" s="83" customFormat="1" ht="18.75">
      <c r="A6" s="419"/>
      <c r="B6" s="625" t="s">
        <v>555</v>
      </c>
      <c r="C6" s="626"/>
      <c r="D6" s="420"/>
      <c r="E6" s="421"/>
      <c r="F6" s="422">
        <v>9045898.9</v>
      </c>
      <c r="G6" s="420"/>
      <c r="H6" s="421"/>
      <c r="I6" s="422">
        <v>10275957.49</v>
      </c>
    </row>
    <row r="7" spans="1:10" s="83" customFormat="1" ht="18.75">
      <c r="A7" s="423"/>
      <c r="B7" s="424"/>
      <c r="C7" s="425" t="s">
        <v>82</v>
      </c>
      <c r="D7" s="426">
        <f>+'รับ-จ่าย'!C36</f>
        <v>2285346.690000005</v>
      </c>
      <c r="E7" s="427"/>
      <c r="F7" s="428"/>
      <c r="G7" s="426">
        <v>1364955.67</v>
      </c>
      <c r="H7" s="427"/>
      <c r="I7" s="428"/>
      <c r="J7" s="429">
        <f>+F6+E17-F19</f>
        <v>6178345.15</v>
      </c>
    </row>
    <row r="8" spans="1:11" s="83" customFormat="1" ht="18.75">
      <c r="A8" s="423"/>
      <c r="B8" s="430"/>
      <c r="C8" s="431" t="s">
        <v>670</v>
      </c>
      <c r="D8" s="432"/>
      <c r="E8" s="433"/>
      <c r="F8" s="428"/>
      <c r="G8" s="432"/>
      <c r="H8" s="433"/>
      <c r="I8" s="428"/>
      <c r="J8" s="434">
        <v>6178345.15</v>
      </c>
      <c r="K8" s="434"/>
    </row>
    <row r="9" spans="1:10" s="83" customFormat="1" ht="18.75">
      <c r="A9" s="423"/>
      <c r="B9" s="430"/>
      <c r="C9" s="425" t="s">
        <v>249</v>
      </c>
      <c r="D9" s="539">
        <f>+D7*0.25</f>
        <v>571336.6725000013</v>
      </c>
      <c r="E9" s="540"/>
      <c r="F9" s="541"/>
      <c r="G9" s="539">
        <v>341238.92</v>
      </c>
      <c r="H9" s="433"/>
      <c r="I9" s="428"/>
      <c r="J9" s="429">
        <f>+J7-J8</f>
        <v>0</v>
      </c>
    </row>
    <row r="10" spans="1:9" s="83" customFormat="1" ht="18.75">
      <c r="A10" s="423"/>
      <c r="B10" s="430" t="s">
        <v>83</v>
      </c>
      <c r="C10" s="425" t="s">
        <v>84</v>
      </c>
      <c r="D10" s="435"/>
      <c r="E10" s="436">
        <f>+D7-D9</f>
        <v>1714010.0175000038</v>
      </c>
      <c r="F10" s="428"/>
      <c r="G10" s="435"/>
      <c r="H10" s="436">
        <v>1023716.75</v>
      </c>
      <c r="I10" s="428"/>
    </row>
    <row r="11" spans="1:9" s="83" customFormat="1" ht="18.75">
      <c r="A11" s="423"/>
      <c r="B11" s="430"/>
      <c r="C11" s="425" t="s">
        <v>624</v>
      </c>
      <c r="D11" s="435"/>
      <c r="E11" s="436"/>
      <c r="F11" s="428"/>
      <c r="G11" s="435"/>
      <c r="H11" s="436">
        <v>10320</v>
      </c>
      <c r="I11" s="428"/>
    </row>
    <row r="12" spans="1:9" s="83" customFormat="1" ht="18.75">
      <c r="A12" s="423"/>
      <c r="B12" s="430"/>
      <c r="C12" s="425" t="s">
        <v>74</v>
      </c>
      <c r="D12" s="435"/>
      <c r="E12" s="436"/>
      <c r="F12" s="428"/>
      <c r="G12" s="435"/>
      <c r="H12" s="436">
        <v>773.62</v>
      </c>
      <c r="I12" s="428"/>
    </row>
    <row r="13" spans="1:9" s="83" customFormat="1" ht="18.75">
      <c r="A13" s="423"/>
      <c r="B13" s="430"/>
      <c r="C13" s="425" t="s">
        <v>625</v>
      </c>
      <c r="D13" s="435"/>
      <c r="E13" s="436"/>
      <c r="F13" s="428"/>
      <c r="G13" s="435"/>
      <c r="H13" s="436">
        <v>57937</v>
      </c>
      <c r="I13" s="428"/>
    </row>
    <row r="14" spans="1:9" s="83" customFormat="1" ht="18.75">
      <c r="A14" s="423"/>
      <c r="B14" s="430"/>
      <c r="C14" s="425" t="s">
        <v>74</v>
      </c>
      <c r="D14" s="435"/>
      <c r="E14" s="436"/>
      <c r="F14" s="428"/>
      <c r="G14" s="435"/>
      <c r="H14" s="436">
        <v>2083.04</v>
      </c>
      <c r="I14" s="428"/>
    </row>
    <row r="15" spans="1:9" s="83" customFormat="1" ht="18.75">
      <c r="A15" s="423"/>
      <c r="B15" s="430"/>
      <c r="C15" s="425" t="s">
        <v>72</v>
      </c>
      <c r="D15" s="435"/>
      <c r="E15" s="436"/>
      <c r="F15" s="428"/>
      <c r="G15" s="435"/>
      <c r="H15" s="436">
        <v>8923</v>
      </c>
      <c r="I15" s="428"/>
    </row>
    <row r="16" spans="1:9" s="83" customFormat="1" ht="18.75">
      <c r="A16" s="423"/>
      <c r="B16" s="430"/>
      <c r="C16" s="425" t="s">
        <v>75</v>
      </c>
      <c r="D16" s="435"/>
      <c r="E16" s="436"/>
      <c r="F16" s="428"/>
      <c r="G16" s="435"/>
      <c r="H16" s="436">
        <v>17136</v>
      </c>
      <c r="I16" s="428">
        <f>SUM(H10:H16)</f>
        <v>1120889.4100000001</v>
      </c>
    </row>
    <row r="17" spans="1:9" s="83" customFormat="1" ht="18.75">
      <c r="A17" s="423"/>
      <c r="B17" s="430"/>
      <c r="C17" s="425" t="s">
        <v>622</v>
      </c>
      <c r="D17" s="435"/>
      <c r="E17" s="436">
        <v>4666</v>
      </c>
      <c r="F17" s="428">
        <f>SUM(E10:E17)</f>
        <v>1718676.0175000038</v>
      </c>
      <c r="G17" s="435"/>
      <c r="H17" s="436">
        <v>0</v>
      </c>
      <c r="I17" s="428"/>
    </row>
    <row r="18" spans="1:9" s="83" customFormat="1" ht="18.75">
      <c r="A18" s="423"/>
      <c r="B18" s="430" t="s">
        <v>85</v>
      </c>
      <c r="C18" s="425" t="s">
        <v>86</v>
      </c>
      <c r="D18" s="432"/>
      <c r="E18" s="436">
        <v>2871436</v>
      </c>
      <c r="F18" s="437"/>
      <c r="G18" s="432"/>
      <c r="H18" s="436">
        <v>2350948</v>
      </c>
      <c r="I18" s="437">
        <f>+H18</f>
        <v>2350948</v>
      </c>
    </row>
    <row r="19" spans="1:9" s="83" customFormat="1" ht="18.75">
      <c r="A19" s="423"/>
      <c r="B19" s="430"/>
      <c r="C19" s="425" t="s">
        <v>623</v>
      </c>
      <c r="D19" s="505"/>
      <c r="E19" s="438">
        <v>783.75</v>
      </c>
      <c r="F19" s="445">
        <f>SUM(E18:E19)</f>
        <v>2872219.75</v>
      </c>
      <c r="G19" s="505"/>
      <c r="H19" s="439"/>
      <c r="I19" s="437"/>
    </row>
    <row r="20" spans="1:9" s="83" customFormat="1" ht="18.75">
      <c r="A20" s="440"/>
      <c r="B20" s="441" t="s">
        <v>669</v>
      </c>
      <c r="C20" s="442"/>
      <c r="D20" s="443"/>
      <c r="E20" s="444"/>
      <c r="F20" s="445">
        <f>+F6+F17-F19</f>
        <v>7892355.167500004</v>
      </c>
      <c r="G20" s="443"/>
      <c r="H20" s="444"/>
      <c r="I20" s="446">
        <f>+I6+I16-I18</f>
        <v>9045898.9</v>
      </c>
    </row>
    <row r="21" spans="1:9" s="83" customFormat="1" ht="5.25" customHeight="1">
      <c r="A21" s="447"/>
      <c r="B21" s="447"/>
      <c r="C21" s="447"/>
      <c r="D21" s="427"/>
      <c r="E21" s="427"/>
      <c r="F21" s="448"/>
      <c r="G21" s="427"/>
      <c r="H21" s="427"/>
      <c r="I21" s="448"/>
    </row>
    <row r="22" spans="1:8" s="83" customFormat="1" ht="18.75">
      <c r="A22" s="418"/>
      <c r="B22" s="449" t="s">
        <v>626</v>
      </c>
      <c r="C22" s="450"/>
      <c r="D22" s="451"/>
      <c r="E22" s="451"/>
      <c r="F22" s="452">
        <v>2561</v>
      </c>
      <c r="G22" s="453"/>
      <c r="H22" s="397">
        <v>2560</v>
      </c>
    </row>
    <row r="23" spans="1:8" s="83" customFormat="1" ht="18.75">
      <c r="A23" s="418"/>
      <c r="B23" s="418"/>
      <c r="C23" s="454" t="s">
        <v>251</v>
      </c>
      <c r="D23" s="451"/>
      <c r="E23" s="451"/>
      <c r="F23" s="458">
        <v>0</v>
      </c>
      <c r="H23" s="458">
        <v>0</v>
      </c>
    </row>
    <row r="24" spans="1:8" s="83" customFormat="1" ht="18.75">
      <c r="A24" s="418"/>
      <c r="B24" s="418"/>
      <c r="C24" s="454" t="s">
        <v>250</v>
      </c>
      <c r="D24" s="418"/>
      <c r="E24" s="451"/>
      <c r="F24" s="458">
        <v>0</v>
      </c>
      <c r="H24" s="458">
        <v>0</v>
      </c>
    </row>
    <row r="25" spans="1:8" s="83" customFormat="1" ht="18.75">
      <c r="A25" s="418"/>
      <c r="B25" s="418"/>
      <c r="C25" s="454" t="s">
        <v>252</v>
      </c>
      <c r="D25" s="418"/>
      <c r="E25" s="451"/>
      <c r="F25" s="458">
        <f>6575+8923+56.4+26.32+374.12+17136</f>
        <v>33090.84</v>
      </c>
      <c r="H25" s="458">
        <v>0</v>
      </c>
    </row>
    <row r="26" spans="1:8" s="83" customFormat="1" ht="18.75">
      <c r="A26" s="418"/>
      <c r="B26" s="418"/>
      <c r="C26" s="454" t="s">
        <v>87</v>
      </c>
      <c r="D26" s="418"/>
      <c r="E26" s="451"/>
      <c r="F26" s="458">
        <v>0</v>
      </c>
      <c r="H26" s="458">
        <v>0</v>
      </c>
    </row>
    <row r="27" spans="1:8" s="83" customFormat="1" ht="18.75">
      <c r="A27" s="418"/>
      <c r="B27" s="418"/>
      <c r="C27" s="454" t="s">
        <v>253</v>
      </c>
      <c r="D27" s="418"/>
      <c r="E27" s="451"/>
      <c r="F27" s="458">
        <v>0</v>
      </c>
      <c r="H27" s="458">
        <v>0</v>
      </c>
    </row>
    <row r="28" spans="1:8" s="83" customFormat="1" ht="18.75">
      <c r="A28" s="418"/>
      <c r="B28" s="418"/>
      <c r="C28" s="454" t="s">
        <v>254</v>
      </c>
      <c r="D28" s="418"/>
      <c r="E28" s="451"/>
      <c r="F28" s="458">
        <v>0</v>
      </c>
      <c r="H28" s="458">
        <v>0</v>
      </c>
    </row>
    <row r="29" spans="1:8" s="83" customFormat="1" ht="18.75">
      <c r="A29" s="418"/>
      <c r="B29" s="418"/>
      <c r="C29" s="454" t="s">
        <v>88</v>
      </c>
      <c r="D29" s="451"/>
      <c r="E29" s="451"/>
      <c r="F29" s="455">
        <f>+F20-F25</f>
        <v>7859264.327500004</v>
      </c>
      <c r="H29" s="455">
        <f>+I20-H28</f>
        <v>9045898.9</v>
      </c>
    </row>
    <row r="30" spans="1:8" s="83" customFormat="1" ht="19.5" thickBot="1">
      <c r="A30" s="418"/>
      <c r="B30" s="418"/>
      <c r="C30" s="418"/>
      <c r="D30" s="451"/>
      <c r="E30" s="456" t="s">
        <v>68</v>
      </c>
      <c r="F30" s="542">
        <f>+F25+F29</f>
        <v>7892355.167500004</v>
      </c>
      <c r="G30" s="543"/>
      <c r="H30" s="542">
        <f>+H29</f>
        <v>9045898.9</v>
      </c>
    </row>
    <row r="31" spans="6:8" s="83" customFormat="1" ht="19.5" thickTop="1">
      <c r="F31" s="452">
        <v>2561</v>
      </c>
      <c r="G31" s="453"/>
      <c r="H31" s="397">
        <v>2560</v>
      </c>
    </row>
    <row r="32" spans="1:8" s="83" customFormat="1" ht="18.75">
      <c r="A32" s="84"/>
      <c r="B32" s="84" t="s">
        <v>255</v>
      </c>
      <c r="F32" s="434">
        <v>317000</v>
      </c>
      <c r="G32" s="434"/>
      <c r="H32" s="434">
        <v>0</v>
      </c>
    </row>
    <row r="33" spans="1:2" s="83" customFormat="1" ht="18.75">
      <c r="A33" s="457"/>
      <c r="B33" s="457" t="s">
        <v>256</v>
      </c>
    </row>
    <row r="34" s="83" customFormat="1" ht="18.75"/>
    <row r="35" s="83" customFormat="1" ht="18.75"/>
    <row r="36" spans="2:9" s="83" customFormat="1" ht="18.75">
      <c r="B36" s="624" t="s">
        <v>338</v>
      </c>
      <c r="C36" s="624"/>
      <c r="E36" s="624" t="s">
        <v>339</v>
      </c>
      <c r="F36" s="624"/>
      <c r="H36" s="624" t="s">
        <v>342</v>
      </c>
      <c r="I36" s="624"/>
    </row>
    <row r="37" spans="2:9" s="83" customFormat="1" ht="18.75">
      <c r="B37" s="624" t="s">
        <v>340</v>
      </c>
      <c r="C37" s="624"/>
      <c r="E37" s="624" t="s">
        <v>372</v>
      </c>
      <c r="F37" s="624"/>
      <c r="H37" s="624" t="s">
        <v>343</v>
      </c>
      <c r="I37" s="624"/>
    </row>
    <row r="38" s="83" customFormat="1" ht="18.75"/>
    <row r="39" s="83" customFormat="1" ht="18.75"/>
    <row r="40" s="83" customFormat="1" ht="18.75"/>
    <row r="41" s="83" customFormat="1" ht="18.75"/>
    <row r="42" s="83" customFormat="1" ht="18.75"/>
    <row r="43" s="83" customFormat="1" ht="18.75"/>
  </sheetData>
  <sheetProtection/>
  <mergeCells count="12">
    <mergeCell ref="B6:C6"/>
    <mergeCell ref="D5:F5"/>
    <mergeCell ref="G5:I5"/>
    <mergeCell ref="A1:I1"/>
    <mergeCell ref="A2:I2"/>
    <mergeCell ref="A3:I3"/>
    <mergeCell ref="B36:C36"/>
    <mergeCell ref="B37:C37"/>
    <mergeCell ref="E36:F36"/>
    <mergeCell ref="E37:F37"/>
    <mergeCell ref="H36:I36"/>
    <mergeCell ref="H37:I37"/>
  </mergeCells>
  <printOptions/>
  <pageMargins left="0.25" right="0.25" top="0.75" bottom="0.75" header="0.3" footer="0.3"/>
  <pageSetup horizontalDpi="600" verticalDpi="600" orientation="portrait" paperSize="9" scale="8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8"/>
  <sheetViews>
    <sheetView zoomScaleSheetLayoutView="90" zoomScalePageLayoutView="0" workbookViewId="0" topLeftCell="A1">
      <selection activeCell="H8" sqref="H8"/>
    </sheetView>
  </sheetViews>
  <sheetFormatPr defaultColWidth="9.140625" defaultRowHeight="15"/>
  <cols>
    <col min="1" max="1" width="14.00390625" style="3" customWidth="1"/>
    <col min="2" max="2" width="17.8515625" style="3" customWidth="1"/>
    <col min="3" max="3" width="28.421875" style="3" customWidth="1"/>
    <col min="4" max="4" width="16.421875" style="3" customWidth="1"/>
    <col min="5" max="5" width="15.421875" style="3" customWidth="1"/>
    <col min="6" max="6" width="11.8515625" style="3" customWidth="1"/>
    <col min="7" max="7" width="15.421875" style="3" customWidth="1"/>
    <col min="8" max="8" width="12.140625" style="3" customWidth="1"/>
    <col min="9" max="9" width="9.00390625" style="3" customWidth="1"/>
    <col min="10" max="10" width="10.8515625" style="3" bestFit="1" customWidth="1"/>
    <col min="11" max="16384" width="9.00390625" style="3" customWidth="1"/>
  </cols>
  <sheetData>
    <row r="1" spans="1:8" ht="21">
      <c r="A1" s="604" t="str">
        <f>+งบแสดงฐานะการเงิน!A1</f>
        <v>องค์การบริหารส่วนตำบลโพนทอง</v>
      </c>
      <c r="B1" s="604"/>
      <c r="C1" s="604"/>
      <c r="D1" s="604"/>
      <c r="E1" s="604"/>
      <c r="F1" s="604"/>
      <c r="G1" s="604"/>
      <c r="H1" s="604"/>
    </row>
    <row r="2" spans="1:8" ht="21">
      <c r="A2" s="604" t="s">
        <v>65</v>
      </c>
      <c r="B2" s="604"/>
      <c r="C2" s="604"/>
      <c r="D2" s="604"/>
      <c r="E2" s="604"/>
      <c r="F2" s="604"/>
      <c r="G2" s="604"/>
      <c r="H2" s="604"/>
    </row>
    <row r="3" spans="1:8" ht="21">
      <c r="A3" s="604" t="str">
        <f>+'หมายเหตุ 3,4,5,6'!A3:E3</f>
        <v>สำหรับปี สิ้นสุดวันที่ 30 กันยายน 2561</v>
      </c>
      <c r="B3" s="604"/>
      <c r="C3" s="604"/>
      <c r="D3" s="604"/>
      <c r="E3" s="604"/>
      <c r="F3" s="604"/>
      <c r="G3" s="604"/>
      <c r="H3" s="604"/>
    </row>
    <row r="4" ht="21">
      <c r="A4" s="6" t="s">
        <v>258</v>
      </c>
    </row>
    <row r="5" ht="21">
      <c r="A5" s="3" t="s">
        <v>181</v>
      </c>
    </row>
    <row r="6" spans="1:8" s="7" customFormat="1" ht="42" customHeight="1">
      <c r="A6" s="68" t="s">
        <v>79</v>
      </c>
      <c r="B6" s="68" t="s">
        <v>80</v>
      </c>
      <c r="C6" s="52" t="s">
        <v>81</v>
      </c>
      <c r="D6" s="14" t="s">
        <v>89</v>
      </c>
      <c r="E6" s="15" t="s">
        <v>90</v>
      </c>
      <c r="F6" s="52" t="s">
        <v>91</v>
      </c>
      <c r="G6" s="68" t="s">
        <v>92</v>
      </c>
      <c r="H6" s="68" t="s">
        <v>93</v>
      </c>
    </row>
    <row r="7" spans="1:8" s="99" customFormat="1" ht="21" customHeight="1">
      <c r="A7" s="163" t="s">
        <v>50</v>
      </c>
      <c r="B7" s="163" t="s">
        <v>629</v>
      </c>
      <c r="C7" s="179" t="s">
        <v>627</v>
      </c>
      <c r="D7" s="180">
        <v>317000</v>
      </c>
      <c r="E7" s="180">
        <v>314000</v>
      </c>
      <c r="F7" s="180">
        <v>314000</v>
      </c>
      <c r="G7" s="180">
        <f>+E7-F7</f>
        <v>0</v>
      </c>
      <c r="H7" s="180">
        <v>0</v>
      </c>
    </row>
    <row r="8" spans="1:8" ht="21">
      <c r="A8" s="100"/>
      <c r="B8" s="100"/>
      <c r="C8" s="105" t="s">
        <v>628</v>
      </c>
      <c r="D8" s="30"/>
      <c r="E8" s="30"/>
      <c r="F8" s="30"/>
      <c r="G8" s="30"/>
      <c r="H8" s="30"/>
    </row>
    <row r="9" spans="1:8" ht="21">
      <c r="A9" s="104"/>
      <c r="B9" s="104"/>
      <c r="C9" s="106"/>
      <c r="D9" s="32"/>
      <c r="E9" s="32"/>
      <c r="F9" s="32"/>
      <c r="G9" s="32"/>
      <c r="H9" s="32"/>
    </row>
    <row r="10" spans="1:8" ht="21.75" thickBot="1">
      <c r="A10" s="629" t="s">
        <v>68</v>
      </c>
      <c r="B10" s="629"/>
      <c r="C10" s="629"/>
      <c r="D10" s="102">
        <f>SUM(D7:D9)</f>
        <v>317000</v>
      </c>
      <c r="E10" s="102">
        <f>SUM(E7:E9)</f>
        <v>314000</v>
      </c>
      <c r="F10" s="102">
        <f>SUM(F7:F9)</f>
        <v>314000</v>
      </c>
      <c r="G10" s="102">
        <f>SUM(G7:G9)</f>
        <v>0</v>
      </c>
      <c r="H10" s="102">
        <f>SUM(H7:H9)</f>
        <v>0</v>
      </c>
    </row>
    <row r="11" ht="21.75" thickTop="1">
      <c r="J11" s="70"/>
    </row>
    <row r="12" ht="21">
      <c r="A12" s="3" t="s">
        <v>218</v>
      </c>
    </row>
    <row r="13" spans="1:8" s="109" customFormat="1" ht="42" customHeight="1">
      <c r="A13" s="68" t="s">
        <v>79</v>
      </c>
      <c r="B13" s="68" t="s">
        <v>80</v>
      </c>
      <c r="C13" s="68" t="s">
        <v>81</v>
      </c>
      <c r="D13" s="14" t="s">
        <v>89</v>
      </c>
      <c r="E13" s="15" t="s">
        <v>90</v>
      </c>
      <c r="F13" s="68" t="s">
        <v>91</v>
      </c>
      <c r="G13" s="68" t="s">
        <v>92</v>
      </c>
      <c r="H13" s="68" t="s">
        <v>93</v>
      </c>
    </row>
    <row r="14" spans="1:8" s="110" customFormat="1" ht="21" customHeight="1">
      <c r="A14" s="163"/>
      <c r="B14" s="163"/>
      <c r="C14" s="179"/>
      <c r="D14" s="180"/>
      <c r="E14" s="180"/>
      <c r="F14" s="180"/>
      <c r="G14" s="180"/>
      <c r="H14" s="180"/>
    </row>
    <row r="15" spans="1:8" ht="21">
      <c r="A15" s="100"/>
      <c r="B15" s="100"/>
      <c r="C15" s="105"/>
      <c r="D15" s="30"/>
      <c r="E15" s="30"/>
      <c r="F15" s="30"/>
      <c r="G15" s="30"/>
      <c r="H15" s="30"/>
    </row>
    <row r="16" spans="1:8" ht="21">
      <c r="A16" s="104"/>
      <c r="B16" s="104"/>
      <c r="C16" s="106"/>
      <c r="D16" s="32"/>
      <c r="E16" s="32"/>
      <c r="F16" s="32"/>
      <c r="G16" s="32"/>
      <c r="H16" s="32"/>
    </row>
    <row r="17" spans="1:8" ht="21.75" thickBot="1">
      <c r="A17" s="629" t="s">
        <v>68</v>
      </c>
      <c r="B17" s="629"/>
      <c r="C17" s="629"/>
      <c r="D17" s="102">
        <f>SUM(D15:D16)</f>
        <v>0</v>
      </c>
      <c r="E17" s="102">
        <f>SUM(E15:E16)</f>
        <v>0</v>
      </c>
      <c r="F17" s="102">
        <f>SUM(F14:F16)</f>
        <v>0</v>
      </c>
      <c r="G17" s="102">
        <f>SUM(G15:G16)</f>
        <v>0</v>
      </c>
      <c r="H17" s="102">
        <f>SUM(H15:H16)</f>
        <v>0</v>
      </c>
    </row>
    <row r="18" ht="21.75" thickTop="1">
      <c r="J18" s="70"/>
    </row>
    <row r="20" spans="1:8" ht="21">
      <c r="A20" s="600" t="s">
        <v>338</v>
      </c>
      <c r="B20" s="600"/>
      <c r="C20" s="600" t="s">
        <v>339</v>
      </c>
      <c r="D20" s="600"/>
      <c r="E20" s="600"/>
      <c r="F20" s="600" t="s">
        <v>342</v>
      </c>
      <c r="G20" s="600"/>
      <c r="H20" s="600"/>
    </row>
    <row r="21" spans="1:8" ht="21">
      <c r="A21" s="600" t="s">
        <v>340</v>
      </c>
      <c r="B21" s="600"/>
      <c r="C21" s="600" t="s">
        <v>372</v>
      </c>
      <c r="D21" s="600"/>
      <c r="E21" s="600"/>
      <c r="F21" s="600" t="s">
        <v>343</v>
      </c>
      <c r="G21" s="600"/>
      <c r="H21" s="600"/>
    </row>
    <row r="22" ht="21">
      <c r="G22" s="71"/>
    </row>
    <row r="23" ht="21">
      <c r="G23" s="71"/>
    </row>
    <row r="24" ht="21">
      <c r="G24" s="71"/>
    </row>
    <row r="25" ht="21">
      <c r="G25" s="71"/>
    </row>
    <row r="27" ht="21">
      <c r="G27" s="70"/>
    </row>
    <row r="28" ht="21">
      <c r="F28" s="70"/>
    </row>
  </sheetData>
  <sheetProtection/>
  <mergeCells count="11">
    <mergeCell ref="A3:H3"/>
    <mergeCell ref="A10:C10"/>
    <mergeCell ref="A1:H1"/>
    <mergeCell ref="A17:C17"/>
    <mergeCell ref="A20:B20"/>
    <mergeCell ref="A21:B21"/>
    <mergeCell ref="F20:H20"/>
    <mergeCell ref="F21:H21"/>
    <mergeCell ref="C20:E20"/>
    <mergeCell ref="C21:E21"/>
    <mergeCell ref="A2:H2"/>
  </mergeCells>
  <printOptions/>
  <pageMargins left="0.25" right="0.25" top="0.75" bottom="0.75" header="0.3" footer="0.3"/>
  <pageSetup horizontalDpi="600" verticalDpi="600" orientation="landscape" paperSize="9" r:id="rId1"/>
  <headerFooter differentFirst="1">
    <oddHeader>&amp;Cหน้าที่ 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21"/>
  <sheetViews>
    <sheetView view="pageBreakPreview" zoomScale="90" zoomScaleSheetLayoutView="90" zoomScalePageLayoutView="0" workbookViewId="0" topLeftCell="A1">
      <selection activeCell="F22" sqref="F22"/>
    </sheetView>
  </sheetViews>
  <sheetFormatPr defaultColWidth="9.140625" defaultRowHeight="15"/>
  <cols>
    <col min="1" max="1" width="17.421875" style="3" customWidth="1"/>
    <col min="2" max="2" width="15.8515625" style="3" customWidth="1"/>
    <col min="3" max="3" width="24.140625" style="3" customWidth="1"/>
    <col min="4" max="4" width="17.7109375" style="3" bestFit="1" customWidth="1"/>
    <col min="5" max="6" width="12.57421875" style="3" customWidth="1"/>
    <col min="7" max="7" width="13.7109375" style="3" customWidth="1"/>
    <col min="8" max="8" width="12.57421875" style="3" customWidth="1"/>
    <col min="9" max="16384" width="9.00390625" style="3" customWidth="1"/>
  </cols>
  <sheetData>
    <row r="1" spans="1:8" ht="21">
      <c r="A1" s="604" t="str">
        <f>+งบแสดงฐานะการเงิน!A1</f>
        <v>องค์การบริหารส่วนตำบลโพนทอง</v>
      </c>
      <c r="B1" s="604"/>
      <c r="C1" s="604"/>
      <c r="D1" s="604"/>
      <c r="E1" s="604"/>
      <c r="F1" s="604"/>
      <c r="G1" s="604"/>
      <c r="H1" s="604"/>
    </row>
    <row r="2" spans="1:8" ht="21">
      <c r="A2" s="604" t="s">
        <v>65</v>
      </c>
      <c r="B2" s="604"/>
      <c r="C2" s="604"/>
      <c r="D2" s="604"/>
      <c r="E2" s="604"/>
      <c r="F2" s="604"/>
      <c r="G2" s="604"/>
      <c r="H2" s="604"/>
    </row>
    <row r="3" spans="1:8" ht="21">
      <c r="A3" s="604" t="str">
        <f>+'หมายเหตุ 3,4,5,6'!A3:E3</f>
        <v>สำหรับปี สิ้นสุดวันที่ 30 กันยายน 2561</v>
      </c>
      <c r="B3" s="604"/>
      <c r="C3" s="604"/>
      <c r="D3" s="604"/>
      <c r="E3" s="604"/>
      <c r="F3" s="604"/>
      <c r="G3" s="604"/>
      <c r="H3" s="604"/>
    </row>
    <row r="5" ht="21">
      <c r="A5" s="6" t="s">
        <v>259</v>
      </c>
    </row>
    <row r="6" ht="21">
      <c r="A6" s="3" t="s">
        <v>181</v>
      </c>
    </row>
    <row r="7" spans="1:8" s="109" customFormat="1" ht="42" customHeight="1">
      <c r="A7" s="68" t="s">
        <v>79</v>
      </c>
      <c r="B7" s="68" t="s">
        <v>80</v>
      </c>
      <c r="C7" s="68" t="s">
        <v>81</v>
      </c>
      <c r="D7" s="14" t="s">
        <v>89</v>
      </c>
      <c r="E7" s="15" t="s">
        <v>90</v>
      </c>
      <c r="F7" s="68" t="s">
        <v>91</v>
      </c>
      <c r="G7" s="68" t="s">
        <v>92</v>
      </c>
      <c r="H7" s="68" t="s">
        <v>93</v>
      </c>
    </row>
    <row r="8" spans="1:8" s="110" customFormat="1" ht="21" customHeight="1">
      <c r="A8" s="163"/>
      <c r="B8" s="163"/>
      <c r="C8" s="179"/>
      <c r="D8" s="180"/>
      <c r="E8" s="180"/>
      <c r="F8" s="180"/>
      <c r="G8" s="180"/>
      <c r="H8" s="180"/>
    </row>
    <row r="9" spans="1:8" ht="21">
      <c r="A9" s="100"/>
      <c r="B9" s="100"/>
      <c r="C9" s="105"/>
      <c r="D9" s="30"/>
      <c r="E9" s="30"/>
      <c r="F9" s="30"/>
      <c r="G9" s="30"/>
      <c r="H9" s="30"/>
    </row>
    <row r="10" spans="1:8" ht="21">
      <c r="A10" s="104"/>
      <c r="B10" s="104"/>
      <c r="C10" s="106"/>
      <c r="D10" s="32"/>
      <c r="E10" s="32"/>
      <c r="F10" s="32"/>
      <c r="G10" s="32"/>
      <c r="H10" s="32"/>
    </row>
    <row r="11" spans="1:8" ht="21.75" thickBot="1">
      <c r="A11" s="629" t="s">
        <v>68</v>
      </c>
      <c r="B11" s="629"/>
      <c r="C11" s="629"/>
      <c r="D11" s="102">
        <f>SUM(D9:D10)</f>
        <v>0</v>
      </c>
      <c r="E11" s="102">
        <f>SUM(E9:E10)</f>
        <v>0</v>
      </c>
      <c r="F11" s="102">
        <f>SUM(F8:F10)</f>
        <v>0</v>
      </c>
      <c r="G11" s="102">
        <f>SUM(G9:G10)</f>
        <v>0</v>
      </c>
      <c r="H11" s="102">
        <f>SUM(H9:H10)</f>
        <v>0</v>
      </c>
    </row>
    <row r="12" ht="21.75" thickTop="1">
      <c r="A12" s="3" t="s">
        <v>218</v>
      </c>
    </row>
    <row r="13" spans="1:8" s="109" customFormat="1" ht="42" customHeight="1">
      <c r="A13" s="68" t="s">
        <v>79</v>
      </c>
      <c r="B13" s="68" t="s">
        <v>80</v>
      </c>
      <c r="C13" s="68" t="s">
        <v>81</v>
      </c>
      <c r="D13" s="14" t="s">
        <v>89</v>
      </c>
      <c r="E13" s="15" t="s">
        <v>90</v>
      </c>
      <c r="F13" s="68" t="s">
        <v>91</v>
      </c>
      <c r="G13" s="68" t="s">
        <v>92</v>
      </c>
      <c r="H13" s="68" t="s">
        <v>93</v>
      </c>
    </row>
    <row r="14" spans="1:10" s="110" customFormat="1" ht="21" customHeight="1">
      <c r="A14" s="163"/>
      <c r="B14" s="163"/>
      <c r="C14" s="179"/>
      <c r="D14" s="180"/>
      <c r="E14" s="180"/>
      <c r="F14" s="180"/>
      <c r="G14" s="180"/>
      <c r="H14" s="180"/>
      <c r="J14" s="110">
        <v>8502734.59</v>
      </c>
    </row>
    <row r="15" spans="1:8" ht="21">
      <c r="A15" s="100"/>
      <c r="B15" s="100"/>
      <c r="C15" s="105"/>
      <c r="D15" s="30"/>
      <c r="E15" s="30"/>
      <c r="F15" s="30"/>
      <c r="G15" s="30"/>
      <c r="H15" s="30"/>
    </row>
    <row r="16" spans="1:8" ht="21">
      <c r="A16" s="104"/>
      <c r="B16" s="104"/>
      <c r="C16" s="106"/>
      <c r="D16" s="32"/>
      <c r="E16" s="32"/>
      <c r="F16" s="32"/>
      <c r="G16" s="32"/>
      <c r="H16" s="32"/>
    </row>
    <row r="17" spans="1:8" ht="21.75" thickBot="1">
      <c r="A17" s="629" t="s">
        <v>68</v>
      </c>
      <c r="B17" s="629"/>
      <c r="C17" s="629"/>
      <c r="D17" s="410"/>
      <c r="E17" s="410"/>
      <c r="F17" s="410"/>
      <c r="G17" s="410"/>
      <c r="H17" s="410">
        <f>SUM(H15:H16)</f>
        <v>0</v>
      </c>
    </row>
    <row r="18" ht="21.75" thickTop="1"/>
    <row r="20" spans="1:8" ht="21">
      <c r="A20" s="600" t="s">
        <v>338</v>
      </c>
      <c r="B20" s="600"/>
      <c r="C20" s="600" t="s">
        <v>339</v>
      </c>
      <c r="D20" s="600"/>
      <c r="E20" s="600"/>
      <c r="F20" s="600" t="s">
        <v>342</v>
      </c>
      <c r="G20" s="600"/>
      <c r="H20" s="600"/>
    </row>
    <row r="21" spans="1:8" ht="21">
      <c r="A21" s="600" t="s">
        <v>340</v>
      </c>
      <c r="B21" s="600"/>
      <c r="C21" s="600" t="s">
        <v>372</v>
      </c>
      <c r="D21" s="600"/>
      <c r="E21" s="600"/>
      <c r="F21" s="600" t="s">
        <v>343</v>
      </c>
      <c r="G21" s="600"/>
      <c r="H21" s="600"/>
    </row>
  </sheetData>
  <sheetProtection/>
  <mergeCells count="11">
    <mergeCell ref="A21:B21"/>
    <mergeCell ref="F20:H20"/>
    <mergeCell ref="F21:H21"/>
    <mergeCell ref="C20:E20"/>
    <mergeCell ref="C21:E21"/>
    <mergeCell ref="A1:H1"/>
    <mergeCell ref="A2:H2"/>
    <mergeCell ref="A3:H3"/>
    <mergeCell ref="A17:C17"/>
    <mergeCell ref="A11:C11"/>
    <mergeCell ref="A20:B20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="90" zoomScaleSheetLayoutView="90" zoomScalePageLayoutView="0" workbookViewId="0" topLeftCell="A1">
      <selection activeCell="E21" sqref="E21"/>
    </sheetView>
  </sheetViews>
  <sheetFormatPr defaultColWidth="9.140625" defaultRowHeight="15"/>
  <cols>
    <col min="1" max="1" width="17.421875" style="3" customWidth="1"/>
    <col min="2" max="2" width="15.8515625" style="3" customWidth="1"/>
    <col min="3" max="3" width="31.421875" style="3" customWidth="1"/>
    <col min="4" max="4" width="23.00390625" style="3" customWidth="1"/>
    <col min="5" max="6" width="18.28125" style="3" customWidth="1"/>
    <col min="7" max="7" width="9.00390625" style="3" customWidth="1"/>
    <col min="8" max="8" width="13.421875" style="3" bestFit="1" customWidth="1"/>
    <col min="9" max="16384" width="9.00390625" style="3" customWidth="1"/>
  </cols>
  <sheetData>
    <row r="1" spans="1:6" ht="21">
      <c r="A1" s="604" t="str">
        <f>+งบแสดงฐานะการเงิน!A1</f>
        <v>องค์การบริหารส่วนตำบลโพนทอง</v>
      </c>
      <c r="B1" s="604"/>
      <c r="C1" s="604"/>
      <c r="D1" s="604"/>
      <c r="E1" s="604"/>
      <c r="F1" s="604"/>
    </row>
    <row r="2" spans="1:6" ht="21">
      <c r="A2" s="604" t="s">
        <v>173</v>
      </c>
      <c r="B2" s="604"/>
      <c r="C2" s="604"/>
      <c r="D2" s="604"/>
      <c r="E2" s="604"/>
      <c r="F2" s="604"/>
    </row>
    <row r="3" spans="1:6" ht="21">
      <c r="A3" s="604" t="s">
        <v>275</v>
      </c>
      <c r="B3" s="604"/>
      <c r="C3" s="604"/>
      <c r="D3" s="604"/>
      <c r="E3" s="604"/>
      <c r="F3" s="604"/>
    </row>
    <row r="6" spans="1:6" s="7" customFormat="1" ht="30.75" customHeight="1">
      <c r="A6" s="13" t="s">
        <v>94</v>
      </c>
      <c r="B6" s="13" t="s">
        <v>79</v>
      </c>
      <c r="C6" s="13" t="s">
        <v>76</v>
      </c>
      <c r="D6" s="14" t="s">
        <v>29</v>
      </c>
      <c r="E6" s="15" t="s">
        <v>49</v>
      </c>
      <c r="F6" s="13" t="s">
        <v>68</v>
      </c>
    </row>
    <row r="7" spans="1:6" ht="21">
      <c r="A7" s="8" t="s">
        <v>49</v>
      </c>
      <c r="B7" s="8" t="s">
        <v>49</v>
      </c>
      <c r="C7" s="174" t="s">
        <v>575</v>
      </c>
      <c r="D7" s="10">
        <v>5206800</v>
      </c>
      <c r="E7" s="10">
        <v>4545228</v>
      </c>
      <c r="F7" s="389">
        <f>+E7</f>
        <v>4545228</v>
      </c>
    </row>
    <row r="8" spans="1:6" ht="21">
      <c r="A8" s="9"/>
      <c r="B8" s="9"/>
      <c r="C8" s="9"/>
      <c r="D8" s="11"/>
      <c r="E8" s="11"/>
      <c r="F8" s="390"/>
    </row>
    <row r="9" spans="1:6" ht="21">
      <c r="A9" s="9"/>
      <c r="B9" s="9"/>
      <c r="C9" s="9"/>
      <c r="D9" s="11"/>
      <c r="E9" s="11"/>
      <c r="F9" s="390"/>
    </row>
    <row r="10" spans="1:6" ht="21">
      <c r="A10" s="9"/>
      <c r="B10" s="9"/>
      <c r="C10" s="9"/>
      <c r="D10" s="11"/>
      <c r="E10" s="11"/>
      <c r="F10" s="390"/>
    </row>
    <row r="11" spans="1:6" ht="21">
      <c r="A11" s="9"/>
      <c r="B11" s="9"/>
      <c r="C11" s="9"/>
      <c r="D11" s="11"/>
      <c r="E11" s="11"/>
      <c r="F11" s="390"/>
    </row>
    <row r="12" spans="1:6" ht="21">
      <c r="A12" s="9"/>
      <c r="B12" s="9"/>
      <c r="C12" s="9"/>
      <c r="D12" s="11"/>
      <c r="E12" s="11"/>
      <c r="F12" s="390"/>
    </row>
    <row r="13" spans="1:6" ht="21">
      <c r="A13" s="9"/>
      <c r="B13" s="9"/>
      <c r="C13" s="9"/>
      <c r="D13" s="11"/>
      <c r="E13" s="11"/>
      <c r="F13" s="391"/>
    </row>
    <row r="14" spans="1:8" ht="21.75" thickBot="1">
      <c r="A14" s="603" t="s">
        <v>68</v>
      </c>
      <c r="B14" s="603"/>
      <c r="C14" s="603"/>
      <c r="D14" s="82">
        <f>SUM(D7:D13)</f>
        <v>5206800</v>
      </c>
      <c r="E14" s="82">
        <f>SUM(E7:E13)</f>
        <v>4545228</v>
      </c>
      <c r="F14" s="82">
        <f>SUM(F7:F13)</f>
        <v>4545228</v>
      </c>
      <c r="H14" s="70"/>
    </row>
    <row r="15" ht="21.75" thickTop="1">
      <c r="H15" s="70"/>
    </row>
    <row r="16" ht="21">
      <c r="A16" s="6" t="s">
        <v>95</v>
      </c>
    </row>
    <row r="19" spans="1:6" ht="21">
      <c r="A19" s="600" t="s">
        <v>338</v>
      </c>
      <c r="B19" s="600"/>
      <c r="C19" s="600" t="s">
        <v>339</v>
      </c>
      <c r="D19" s="600"/>
      <c r="E19" s="600" t="s">
        <v>342</v>
      </c>
      <c r="F19" s="600"/>
    </row>
    <row r="20" spans="1:6" ht="21">
      <c r="A20" s="600" t="s">
        <v>340</v>
      </c>
      <c r="B20" s="600"/>
      <c r="C20" s="600" t="s">
        <v>372</v>
      </c>
      <c r="D20" s="600"/>
      <c r="E20" s="600" t="s">
        <v>343</v>
      </c>
      <c r="F20" s="600"/>
    </row>
  </sheetData>
  <sheetProtection/>
  <mergeCells count="10">
    <mergeCell ref="A1:F1"/>
    <mergeCell ref="A2:F2"/>
    <mergeCell ref="A3:F3"/>
    <mergeCell ref="A14:C14"/>
    <mergeCell ref="A19:B19"/>
    <mergeCell ref="A20:B20"/>
    <mergeCell ref="C19:D19"/>
    <mergeCell ref="C20:D20"/>
    <mergeCell ref="E19:F19"/>
    <mergeCell ref="E20:F20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3"/>
  <sheetViews>
    <sheetView view="pageBreakPreview" zoomScale="60" zoomScalePageLayoutView="0" workbookViewId="0" topLeftCell="A88">
      <selection activeCell="K10" sqref="K10"/>
    </sheetView>
  </sheetViews>
  <sheetFormatPr defaultColWidth="9.140625" defaultRowHeight="15"/>
  <cols>
    <col min="3" max="3" width="13.421875" style="0" customWidth="1"/>
    <col min="7" max="7" width="5.28125" style="0" customWidth="1"/>
    <col min="8" max="8" width="17.28125" style="0" customWidth="1"/>
  </cols>
  <sheetData>
    <row r="1" spans="1:9" s="290" customFormat="1" ht="23.25">
      <c r="A1" s="559" t="s">
        <v>303</v>
      </c>
      <c r="B1" s="559"/>
      <c r="C1" s="559"/>
      <c r="D1" s="559"/>
      <c r="E1" s="559"/>
      <c r="F1" s="559"/>
      <c r="G1" s="559"/>
      <c r="H1" s="559"/>
      <c r="I1" s="55"/>
    </row>
    <row r="2" spans="1:9" s="290" customFormat="1" ht="23.25">
      <c r="A2" s="559" t="s">
        <v>691</v>
      </c>
      <c r="B2" s="559"/>
      <c r="C2" s="559"/>
      <c r="D2" s="559"/>
      <c r="E2" s="559"/>
      <c r="F2" s="559"/>
      <c r="G2" s="559"/>
      <c r="H2" s="559"/>
      <c r="I2" s="55"/>
    </row>
    <row r="3" spans="1:9" s="290" customFormat="1" ht="23.25">
      <c r="A3" s="291" t="s">
        <v>346</v>
      </c>
      <c r="B3" s="55"/>
      <c r="C3" s="292"/>
      <c r="D3" s="55"/>
      <c r="E3" s="55"/>
      <c r="F3" s="55"/>
      <c r="G3" s="55"/>
      <c r="H3" s="96"/>
      <c r="I3" s="55"/>
    </row>
    <row r="4" spans="1:11" s="290" customFormat="1" ht="23.25">
      <c r="A4" s="293"/>
      <c r="B4" s="55"/>
      <c r="C4" s="293"/>
      <c r="D4" s="258"/>
      <c r="E4" s="55"/>
      <c r="F4" s="55"/>
      <c r="G4" s="55"/>
      <c r="H4" s="96"/>
      <c r="I4" s="55"/>
      <c r="K4" s="294"/>
    </row>
    <row r="5" spans="1:9" s="290" customFormat="1" ht="26.25" thickBot="1">
      <c r="A5" s="295"/>
      <c r="B5" s="128"/>
      <c r="C5" s="295"/>
      <c r="D5" s="258" t="s">
        <v>68</v>
      </c>
      <c r="E5" s="128"/>
      <c r="F5" s="128"/>
      <c r="G5" s="128"/>
      <c r="H5" s="296">
        <f>SUM(H4:H4)</f>
        <v>0</v>
      </c>
      <c r="I5" s="55"/>
    </row>
    <row r="6" spans="1:9" s="290" customFormat="1" ht="24" thickTop="1">
      <c r="A6" s="291" t="s">
        <v>347</v>
      </c>
      <c r="B6" s="3"/>
      <c r="C6" s="3"/>
      <c r="D6" s="3"/>
      <c r="E6" s="297"/>
      <c r="F6" s="3"/>
      <c r="G6" s="297"/>
      <c r="H6" s="298"/>
      <c r="I6" s="55"/>
    </row>
    <row r="7" spans="1:9" s="290" customFormat="1" ht="23.25">
      <c r="A7" s="293"/>
      <c r="B7" s="55"/>
      <c r="C7" s="293"/>
      <c r="D7" s="258"/>
      <c r="E7" s="55"/>
      <c r="F7" s="55"/>
      <c r="G7" s="55"/>
      <c r="H7" s="96"/>
      <c r="I7" s="55"/>
    </row>
    <row r="8" spans="1:9" s="290" customFormat="1" ht="24" thickBot="1">
      <c r="A8" s="291"/>
      <c r="B8" s="55"/>
      <c r="C8" s="292"/>
      <c r="D8" s="258" t="s">
        <v>68</v>
      </c>
      <c r="E8" s="55"/>
      <c r="F8" s="55"/>
      <c r="G8" s="55"/>
      <c r="H8" s="299">
        <f>SUM(H7:H7)</f>
        <v>0</v>
      </c>
      <c r="I8" s="55"/>
    </row>
    <row r="9" spans="1:9" s="290" customFormat="1" ht="24" thickTop="1">
      <c r="A9" s="291" t="s">
        <v>348</v>
      </c>
      <c r="B9" s="3"/>
      <c r="C9" s="3"/>
      <c r="D9" s="3"/>
      <c r="E9" s="297"/>
      <c r="F9" s="3"/>
      <c r="G9" s="297"/>
      <c r="H9" s="298"/>
      <c r="I9" s="55"/>
    </row>
    <row r="10" spans="1:11" s="290" customFormat="1" ht="23.25">
      <c r="A10" s="293" t="s">
        <v>349</v>
      </c>
      <c r="B10" s="55"/>
      <c r="C10" s="293"/>
      <c r="D10" s="258"/>
      <c r="E10" s="55"/>
      <c r="F10" s="55"/>
      <c r="G10" s="55"/>
      <c r="H10" s="96">
        <v>571480</v>
      </c>
      <c r="I10" s="55"/>
      <c r="K10" s="294"/>
    </row>
    <row r="11" spans="1:11" s="290" customFormat="1" ht="23.25">
      <c r="A11" s="293" t="s">
        <v>462</v>
      </c>
      <c r="B11" s="55"/>
      <c r="C11" s="293"/>
      <c r="D11" s="258"/>
      <c r="E11" s="55"/>
      <c r="F11" s="55"/>
      <c r="G11" s="55"/>
      <c r="H11" s="96">
        <v>3000</v>
      </c>
      <c r="I11" s="55"/>
      <c r="K11" s="294"/>
    </row>
    <row r="12" spans="1:11" s="290" customFormat="1" ht="23.25">
      <c r="A12" s="293" t="s">
        <v>463</v>
      </c>
      <c r="B12" s="55"/>
      <c r="C12" s="293"/>
      <c r="D12" s="258"/>
      <c r="E12" s="55"/>
      <c r="F12" s="55"/>
      <c r="G12" s="55"/>
      <c r="H12" s="96">
        <v>346000</v>
      </c>
      <c r="I12" s="55"/>
      <c r="K12" s="294"/>
    </row>
    <row r="13" spans="1:11" s="290" customFormat="1" ht="23.25">
      <c r="A13" s="293" t="s">
        <v>48</v>
      </c>
      <c r="B13" s="55"/>
      <c r="C13" s="293"/>
      <c r="D13" s="258"/>
      <c r="E13" s="55"/>
      <c r="F13" s="55"/>
      <c r="G13" s="55"/>
      <c r="H13" s="96">
        <v>18000</v>
      </c>
      <c r="I13" s="55"/>
      <c r="K13" s="294"/>
    </row>
    <row r="14" spans="1:11" s="290" customFormat="1" ht="23.25">
      <c r="A14" s="293" t="s">
        <v>464</v>
      </c>
      <c r="B14" s="55"/>
      <c r="C14" s="293"/>
      <c r="D14" s="258"/>
      <c r="E14" s="55"/>
      <c r="F14" s="55"/>
      <c r="G14" s="55"/>
      <c r="H14" s="96">
        <v>100000</v>
      </c>
      <c r="I14" s="55"/>
      <c r="K14" s="294"/>
    </row>
    <row r="15" spans="1:9" s="290" customFormat="1" ht="24" thickBot="1">
      <c r="A15" s="291"/>
      <c r="B15" s="55"/>
      <c r="C15" s="292"/>
      <c r="D15" s="258" t="s">
        <v>68</v>
      </c>
      <c r="E15" s="55"/>
      <c r="F15" s="55"/>
      <c r="G15" s="55"/>
      <c r="H15" s="299">
        <f>SUM(H10:H14)</f>
        <v>1038480</v>
      </c>
      <c r="I15" s="55"/>
    </row>
    <row r="16" spans="1:9" s="290" customFormat="1" ht="24" thickTop="1">
      <c r="A16" s="291" t="s">
        <v>350</v>
      </c>
      <c r="B16" s="55"/>
      <c r="C16" s="55"/>
      <c r="D16" s="55"/>
      <c r="E16" s="55"/>
      <c r="F16" s="55"/>
      <c r="G16" s="55"/>
      <c r="H16" s="56"/>
      <c r="I16" s="55"/>
    </row>
    <row r="17" spans="1:9" s="290" customFormat="1" ht="23.25">
      <c r="A17" s="300" t="s">
        <v>351</v>
      </c>
      <c r="B17" s="55"/>
      <c r="C17" s="55"/>
      <c r="D17" s="55"/>
      <c r="E17" s="258"/>
      <c r="F17" s="258"/>
      <c r="G17" s="258"/>
      <c r="H17" s="258" t="s">
        <v>92</v>
      </c>
      <c r="I17" s="55"/>
    </row>
    <row r="18" spans="1:12" s="290" customFormat="1" ht="23.25">
      <c r="A18" s="55" t="s">
        <v>352</v>
      </c>
      <c r="B18" s="55"/>
      <c r="C18" s="55"/>
      <c r="D18" s="55"/>
      <c r="E18" s="267"/>
      <c r="F18" s="3"/>
      <c r="G18" s="267"/>
      <c r="H18" s="267">
        <v>640453</v>
      </c>
      <c r="I18" s="55"/>
      <c r="L18" s="294"/>
    </row>
    <row r="19" spans="1:9" s="290" customFormat="1" ht="23.25">
      <c r="A19" s="55" t="s">
        <v>353</v>
      </c>
      <c r="B19" s="55"/>
      <c r="C19" s="55"/>
      <c r="D19" s="55"/>
      <c r="E19" s="56"/>
      <c r="F19" s="3"/>
      <c r="G19" s="56"/>
      <c r="H19" s="56">
        <v>2309.69</v>
      </c>
      <c r="I19" s="55"/>
    </row>
    <row r="20" spans="1:9" s="290" customFormat="1" ht="23.25">
      <c r="A20" s="55" t="s">
        <v>354</v>
      </c>
      <c r="B20" s="55"/>
      <c r="C20" s="55"/>
      <c r="D20" s="55"/>
      <c r="E20" s="56"/>
      <c r="F20" s="3"/>
      <c r="G20" s="56"/>
      <c r="H20" s="56">
        <v>19334.96</v>
      </c>
      <c r="I20" s="55"/>
    </row>
    <row r="21" spans="1:9" s="290" customFormat="1" ht="23.25">
      <c r="A21" s="55" t="s">
        <v>355</v>
      </c>
      <c r="B21" s="55"/>
      <c r="C21" s="55"/>
      <c r="D21" s="55"/>
      <c r="E21" s="56"/>
      <c r="F21" s="3"/>
      <c r="G21" s="56"/>
      <c r="H21" s="56">
        <f>4751+4751-4751+4910-4751-4910+4803-4803+4047-4047+3744-3774+3774-3744+3294+3294-3294+3294-3294+5962-3294+4005-9333+4946-4946+4199+4199-4199+4199-4199+4199-4199+4699-4199+4699-4699+4699-4699+4699-4699+4699-4699+4699-9398-634+4739-4739+4739+4739-4739+4739-4739+4739-4739+4739-4739+4739-4739+4739-4739+4739-4739+4632-4739+4075-4632-8150+4075</f>
        <v>0</v>
      </c>
      <c r="I21" s="55"/>
    </row>
    <row r="22" spans="1:9" s="290" customFormat="1" ht="23.25">
      <c r="A22" s="55" t="s">
        <v>356</v>
      </c>
      <c r="B22" s="55"/>
      <c r="C22" s="3"/>
      <c r="D22" s="3"/>
      <c r="E22" s="56"/>
      <c r="F22" s="3"/>
      <c r="G22" s="56"/>
      <c r="H22" s="56">
        <v>900000</v>
      </c>
      <c r="I22" s="55"/>
    </row>
    <row r="23" spans="1:9" s="290" customFormat="1" ht="23.25">
      <c r="A23" s="55" t="s">
        <v>357</v>
      </c>
      <c r="B23" s="55"/>
      <c r="C23" s="3"/>
      <c r="D23" s="3"/>
      <c r="E23" s="267"/>
      <c r="F23" s="3"/>
      <c r="G23" s="267"/>
      <c r="H23" s="96">
        <v>115823.51</v>
      </c>
      <c r="I23" s="55"/>
    </row>
    <row r="24" spans="1:9" s="290" customFormat="1" ht="23.25">
      <c r="A24" s="55" t="s">
        <v>358</v>
      </c>
      <c r="B24" s="55"/>
      <c r="C24" s="3"/>
      <c r="D24" s="3"/>
      <c r="E24" s="267"/>
      <c r="F24" s="3"/>
      <c r="G24" s="267"/>
      <c r="H24" s="267">
        <v>250</v>
      </c>
      <c r="I24" s="55"/>
    </row>
    <row r="25" spans="1:9" s="290" customFormat="1" ht="23.25">
      <c r="A25" s="286" t="s">
        <v>359</v>
      </c>
      <c r="B25" s="55"/>
      <c r="C25" s="3"/>
      <c r="D25" s="3"/>
      <c r="E25" s="267"/>
      <c r="F25" s="3"/>
      <c r="G25" s="267"/>
      <c r="H25" s="267">
        <f>39991.24-39990.15+39896.71-39896.71</f>
        <v>1.0899999999965075</v>
      </c>
      <c r="I25" s="55"/>
    </row>
    <row r="26" spans="1:9" s="290" customFormat="1" ht="23.25">
      <c r="A26" s="6" t="s">
        <v>68</v>
      </c>
      <c r="B26" s="3"/>
      <c r="C26" s="3"/>
      <c r="D26" s="3"/>
      <c r="E26" s="297"/>
      <c r="F26" s="3"/>
      <c r="G26" s="297"/>
      <c r="H26" s="298">
        <f>SUM(H18:H25)</f>
        <v>1678172.25</v>
      </c>
      <c r="I26" s="55"/>
    </row>
    <row r="27" spans="1:8" s="55" customFormat="1" ht="21">
      <c r="A27" s="55" t="s">
        <v>360</v>
      </c>
      <c r="D27" s="267"/>
      <c r="F27" s="268"/>
      <c r="H27" s="267">
        <v>18000</v>
      </c>
    </row>
    <row r="28" spans="1:9" s="290" customFormat="1" ht="23.25">
      <c r="A28" s="286" t="s">
        <v>361</v>
      </c>
      <c r="B28" s="55"/>
      <c r="C28" s="3"/>
      <c r="D28" s="3"/>
      <c r="E28" s="267"/>
      <c r="F28" s="3"/>
      <c r="G28" s="267"/>
      <c r="H28" s="96">
        <f>52836+23310</f>
        <v>76146</v>
      </c>
      <c r="I28" s="55"/>
    </row>
    <row r="29" spans="1:9" s="290" customFormat="1" ht="23.25">
      <c r="A29" s="6" t="s">
        <v>68</v>
      </c>
      <c r="B29" s="3"/>
      <c r="C29" s="3"/>
      <c r="D29" s="3"/>
      <c r="E29" s="297"/>
      <c r="F29" s="3"/>
      <c r="G29" s="297"/>
      <c r="H29" s="298">
        <f>SUM(H27:H28)</f>
        <v>94146</v>
      </c>
      <c r="I29" s="55"/>
    </row>
    <row r="30" spans="1:9" s="290" customFormat="1" ht="23.25">
      <c r="A30" s="6"/>
      <c r="B30" s="6" t="s">
        <v>362</v>
      </c>
      <c r="C30" s="6"/>
      <c r="D30" s="6"/>
      <c r="E30" s="297"/>
      <c r="F30" s="6"/>
      <c r="G30" s="297"/>
      <c r="H30" s="301">
        <f>+H26+H29</f>
        <v>1772318.25</v>
      </c>
      <c r="I30" s="55"/>
    </row>
    <row r="31" spans="1:9" s="290" customFormat="1" ht="23.25">
      <c r="A31" s="6"/>
      <c r="B31" s="6"/>
      <c r="C31" s="6"/>
      <c r="D31" s="6"/>
      <c r="E31" s="297"/>
      <c r="F31" s="6"/>
      <c r="G31" s="297"/>
      <c r="H31" s="301"/>
      <c r="I31" s="55"/>
    </row>
    <row r="32" spans="1:9" s="290" customFormat="1" ht="23.25">
      <c r="A32" s="6"/>
      <c r="B32" s="6"/>
      <c r="C32" s="6"/>
      <c r="D32" s="6"/>
      <c r="E32" s="297" t="s">
        <v>334</v>
      </c>
      <c r="F32" s="6"/>
      <c r="G32" s="297"/>
      <c r="H32" s="301"/>
      <c r="I32" s="55"/>
    </row>
    <row r="33" spans="1:9" s="290" customFormat="1" ht="23.25">
      <c r="A33" s="291" t="s">
        <v>363</v>
      </c>
      <c r="B33" s="3"/>
      <c r="C33" s="3"/>
      <c r="D33" s="3"/>
      <c r="E33" s="297"/>
      <c r="F33" s="3"/>
      <c r="G33" s="297"/>
      <c r="H33" s="301"/>
      <c r="I33" s="55"/>
    </row>
    <row r="34" spans="1:9" s="290" customFormat="1" ht="23.25">
      <c r="A34" s="291" t="s">
        <v>351</v>
      </c>
      <c r="B34" s="3"/>
      <c r="C34" s="3"/>
      <c r="D34" s="3"/>
      <c r="E34" s="297"/>
      <c r="F34" s="3"/>
      <c r="G34" s="297"/>
      <c r="H34" s="301"/>
      <c r="I34" s="55"/>
    </row>
    <row r="35" spans="1:8" s="55" customFormat="1" ht="21">
      <c r="A35" s="55" t="s">
        <v>364</v>
      </c>
      <c r="D35" s="267"/>
      <c r="E35" s="267"/>
      <c r="H35" s="267">
        <v>21800</v>
      </c>
    </row>
    <row r="36" spans="1:8" s="55" customFormat="1" ht="21">
      <c r="A36" s="55" t="s">
        <v>365</v>
      </c>
      <c r="D36" s="267"/>
      <c r="F36" s="268"/>
      <c r="H36" s="267">
        <f>139500-139500+500-4000-41500+158900-16000-97900+225600-142700-8800-63200+75200-77100+65600-8000-66600+212800-213100+3700-800-2600</f>
        <v>0</v>
      </c>
    </row>
    <row r="37" spans="1:8" s="55" customFormat="1" ht="21">
      <c r="A37" s="55" t="s">
        <v>366</v>
      </c>
      <c r="D37" s="267"/>
      <c r="E37" s="267"/>
      <c r="H37" s="267">
        <f>50760-33840-16920+200902+8280-110516-48670-48670+48910-48670+97820-97340+7160</f>
        <v>9206</v>
      </c>
    </row>
    <row r="38" spans="1:8" s="55" customFormat="1" ht="21">
      <c r="A38" s="55" t="s">
        <v>367</v>
      </c>
      <c r="D38" s="267"/>
      <c r="E38" s="302"/>
      <c r="F38" s="303"/>
      <c r="H38" s="267">
        <v>108358</v>
      </c>
    </row>
    <row r="39" spans="1:8" s="55" customFormat="1" ht="21">
      <c r="A39" s="55" t="s">
        <v>368</v>
      </c>
      <c r="D39" s="267"/>
      <c r="F39" s="268"/>
      <c r="H39" s="267">
        <f>13500-4500-4500-4295+23030</f>
        <v>23235</v>
      </c>
    </row>
    <row r="40" spans="1:8" s="55" customFormat="1" ht="21">
      <c r="A40" s="55" t="s">
        <v>369</v>
      </c>
      <c r="D40" s="267"/>
      <c r="F40" s="268"/>
      <c r="H40" s="267">
        <f>7615-2680-2250-2680+1250+2535-2535+2535+2535-1843-1540-1540-1090+1540-1090+800</f>
        <v>1562</v>
      </c>
    </row>
    <row r="41" spans="1:8" s="55" customFormat="1" ht="21">
      <c r="A41" s="55" t="s">
        <v>370</v>
      </c>
      <c r="D41" s="267"/>
      <c r="H41" s="267">
        <f>90100+90100-180200</f>
        <v>0</v>
      </c>
    </row>
    <row r="42" spans="1:8" s="55" customFormat="1" ht="21">
      <c r="A42" s="55" t="s">
        <v>371</v>
      </c>
      <c r="D42" s="267"/>
      <c r="H42" s="267">
        <f>3860-3630</f>
        <v>230</v>
      </c>
    </row>
    <row r="43" spans="1:8" s="55" customFormat="1" ht="21">
      <c r="A43" s="191" t="s">
        <v>465</v>
      </c>
      <c r="D43" s="267"/>
      <c r="H43" s="267">
        <v>1989</v>
      </c>
    </row>
    <row r="44" spans="1:9" s="290" customFormat="1" ht="23.25">
      <c r="A44" s="6" t="s">
        <v>68</v>
      </c>
      <c r="B44" s="55"/>
      <c r="C44" s="55"/>
      <c r="D44" s="55"/>
      <c r="E44" s="55"/>
      <c r="F44" s="55"/>
      <c r="G44" s="55"/>
      <c r="H44" s="304">
        <f>SUM(H35:H43)</f>
        <v>166380</v>
      </c>
      <c r="I44" s="55"/>
    </row>
    <row r="45" spans="1:9" s="290" customFormat="1" ht="23.25">
      <c r="A45" s="6"/>
      <c r="B45" s="55"/>
      <c r="C45" s="55"/>
      <c r="D45" s="55"/>
      <c r="E45" s="55"/>
      <c r="F45" s="55"/>
      <c r="G45" s="55"/>
      <c r="H45" s="304"/>
      <c r="I45" s="55"/>
    </row>
    <row r="46" spans="1:9" s="290" customFormat="1" ht="23.25">
      <c r="A46" s="291"/>
      <c r="B46" s="55"/>
      <c r="C46" s="55"/>
      <c r="D46" s="258"/>
      <c r="E46" s="55"/>
      <c r="F46" s="55"/>
      <c r="G46" s="55"/>
      <c r="H46" s="305"/>
      <c r="I46" s="55"/>
    </row>
    <row r="47" spans="1:9" s="290" customFormat="1" ht="23.25">
      <c r="A47" s="291"/>
      <c r="B47" s="55"/>
      <c r="C47" s="55"/>
      <c r="D47" s="258"/>
      <c r="E47" s="55"/>
      <c r="F47" s="55"/>
      <c r="G47" s="55"/>
      <c r="H47" s="305"/>
      <c r="I47" s="55"/>
    </row>
    <row r="48" spans="1:9" s="290" customFormat="1" ht="23.25">
      <c r="A48" s="55"/>
      <c r="B48" s="558" t="s">
        <v>338</v>
      </c>
      <c r="C48" s="558"/>
      <c r="D48" s="258"/>
      <c r="E48" s="558" t="s">
        <v>339</v>
      </c>
      <c r="F48" s="558"/>
      <c r="G48" s="558"/>
      <c r="H48" s="267"/>
      <c r="I48" s="55"/>
    </row>
    <row r="49" spans="1:9" s="290" customFormat="1" ht="23.25">
      <c r="A49" s="55"/>
      <c r="B49" s="558" t="s">
        <v>340</v>
      </c>
      <c r="C49" s="558"/>
      <c r="D49" s="258"/>
      <c r="E49" s="558" t="s">
        <v>372</v>
      </c>
      <c r="F49" s="558"/>
      <c r="G49" s="558"/>
      <c r="H49" s="267"/>
      <c r="I49" s="55"/>
    </row>
    <row r="50" spans="1:9" s="290" customFormat="1" ht="23.25">
      <c r="A50" s="55"/>
      <c r="B50" s="288"/>
      <c r="C50" s="288"/>
      <c r="D50" s="258"/>
      <c r="E50" s="288"/>
      <c r="F50" s="288"/>
      <c r="G50" s="288"/>
      <c r="H50" s="267"/>
      <c r="I50" s="55"/>
    </row>
    <row r="51" spans="1:9" s="290" customFormat="1" ht="23.25">
      <c r="A51" s="306"/>
      <c r="B51" s="306"/>
      <c r="C51" s="306"/>
      <c r="D51" s="306"/>
      <c r="E51" s="306"/>
      <c r="F51" s="558"/>
      <c r="G51" s="558"/>
      <c r="H51" s="558"/>
      <c r="I51" s="55"/>
    </row>
    <row r="52" spans="1:9" s="290" customFormat="1" ht="23.25">
      <c r="A52" s="558" t="s">
        <v>342</v>
      </c>
      <c r="B52" s="558"/>
      <c r="C52" s="558"/>
      <c r="D52" s="558"/>
      <c r="E52" s="558"/>
      <c r="F52" s="558"/>
      <c r="G52" s="558"/>
      <c r="H52" s="558"/>
      <c r="I52" s="55"/>
    </row>
    <row r="53" spans="1:9" s="290" customFormat="1" ht="23.25">
      <c r="A53" s="558" t="s">
        <v>343</v>
      </c>
      <c r="B53" s="558"/>
      <c r="C53" s="558"/>
      <c r="D53" s="558"/>
      <c r="E53" s="558"/>
      <c r="F53" s="558"/>
      <c r="G53" s="558"/>
      <c r="H53" s="558"/>
      <c r="I53" s="55"/>
    </row>
    <row r="54" spans="1:9" s="290" customFormat="1" ht="23.25">
      <c r="A54" s="288"/>
      <c r="B54" s="288"/>
      <c r="C54" s="288"/>
      <c r="D54" s="288"/>
      <c r="E54" s="288"/>
      <c r="F54" s="288"/>
      <c r="G54" s="288"/>
      <c r="H54" s="288"/>
      <c r="I54" s="55"/>
    </row>
    <row r="55" spans="1:9" s="290" customFormat="1" ht="23.25">
      <c r="A55" s="288"/>
      <c r="B55" s="288"/>
      <c r="C55" s="288"/>
      <c r="D55" s="288"/>
      <c r="E55" s="288"/>
      <c r="F55" s="288"/>
      <c r="G55" s="288"/>
      <c r="H55" s="288"/>
      <c r="I55" s="55"/>
    </row>
    <row r="56" spans="1:9" s="290" customFormat="1" ht="23.25">
      <c r="A56" s="288"/>
      <c r="B56" s="288"/>
      <c r="C56" s="288"/>
      <c r="D56" s="288"/>
      <c r="E56" s="288"/>
      <c r="F56" s="288"/>
      <c r="G56" s="288"/>
      <c r="H56" s="288"/>
      <c r="I56" s="55"/>
    </row>
    <row r="57" spans="1:9" s="290" customFormat="1" ht="23.25">
      <c r="A57" s="288"/>
      <c r="B57" s="288"/>
      <c r="C57" s="288"/>
      <c r="D57" s="288"/>
      <c r="E57" s="288"/>
      <c r="F57" s="288"/>
      <c r="G57" s="288"/>
      <c r="H57" s="288"/>
      <c r="I57" s="55"/>
    </row>
    <row r="58" spans="1:9" s="290" customFormat="1" ht="23.25">
      <c r="A58" s="288"/>
      <c r="B58" s="288"/>
      <c r="C58" s="288"/>
      <c r="D58" s="288"/>
      <c r="E58" s="288"/>
      <c r="F58" s="288"/>
      <c r="G58" s="288"/>
      <c r="H58" s="288"/>
      <c r="I58" s="55"/>
    </row>
    <row r="59" spans="1:9" s="290" customFormat="1" ht="23.25">
      <c r="A59" s="288"/>
      <c r="B59" s="288"/>
      <c r="C59" s="288"/>
      <c r="D59" s="288"/>
      <c r="E59" s="288"/>
      <c r="F59" s="288"/>
      <c r="G59" s="288"/>
      <c r="H59" s="288"/>
      <c r="I59" s="55"/>
    </row>
    <row r="60" spans="1:9" s="290" customFormat="1" ht="23.25">
      <c r="A60" s="288"/>
      <c r="B60" s="288"/>
      <c r="C60" s="288"/>
      <c r="D60" s="288"/>
      <c r="E60" s="288"/>
      <c r="F60" s="288"/>
      <c r="G60" s="288"/>
      <c r="H60" s="288"/>
      <c r="I60" s="55"/>
    </row>
    <row r="61" spans="1:9" s="290" customFormat="1" ht="23.25">
      <c r="A61" s="288"/>
      <c r="B61" s="288"/>
      <c r="C61" s="288"/>
      <c r="D61" s="288"/>
      <c r="E61" s="288"/>
      <c r="F61" s="288"/>
      <c r="G61" s="288"/>
      <c r="H61" s="288"/>
      <c r="I61" s="55"/>
    </row>
    <row r="62" spans="1:9" s="290" customFormat="1" ht="23.25">
      <c r="A62" s="291"/>
      <c r="B62" s="55"/>
      <c r="C62" s="55"/>
      <c r="D62" s="258"/>
      <c r="E62" s="55"/>
      <c r="F62" s="55"/>
      <c r="G62" s="55"/>
      <c r="H62" s="287"/>
      <c r="I62" s="55"/>
    </row>
    <row r="63" spans="1:9" s="290" customFormat="1" ht="23.25">
      <c r="A63" s="306"/>
      <c r="B63" s="306"/>
      <c r="C63" s="306"/>
      <c r="D63" s="306"/>
      <c r="E63" s="306"/>
      <c r="F63" s="558"/>
      <c r="G63" s="558"/>
      <c r="H63" s="558"/>
      <c r="I63" s="55"/>
    </row>
    <row r="64" spans="1:9" s="290" customFormat="1" ht="23.25">
      <c r="A64" s="559" t="s">
        <v>303</v>
      </c>
      <c r="B64" s="559"/>
      <c r="C64" s="559"/>
      <c r="D64" s="559"/>
      <c r="E64" s="559"/>
      <c r="F64" s="559"/>
      <c r="G64" s="559"/>
      <c r="H64" s="559"/>
      <c r="I64" s="55"/>
    </row>
    <row r="65" spans="1:9" s="290" customFormat="1" ht="23.25">
      <c r="A65" s="559" t="s">
        <v>459</v>
      </c>
      <c r="B65" s="559"/>
      <c r="C65" s="559"/>
      <c r="D65" s="559"/>
      <c r="E65" s="559"/>
      <c r="F65" s="559"/>
      <c r="G65" s="559"/>
      <c r="H65" s="559"/>
      <c r="I65" s="55"/>
    </row>
    <row r="66" spans="1:9" s="290" customFormat="1" ht="23.25">
      <c r="A66" s="291" t="s">
        <v>346</v>
      </c>
      <c r="B66" s="55"/>
      <c r="C66" s="292"/>
      <c r="D66" s="55"/>
      <c r="E66" s="55"/>
      <c r="F66" s="55"/>
      <c r="G66" s="55"/>
      <c r="H66" s="96"/>
      <c r="I66" s="55"/>
    </row>
    <row r="67" spans="1:11" s="290" customFormat="1" ht="23.25">
      <c r="A67" s="293"/>
      <c r="B67" s="55"/>
      <c r="C67" s="293"/>
      <c r="D67" s="258"/>
      <c r="E67" s="55"/>
      <c r="F67" s="55"/>
      <c r="G67" s="55"/>
      <c r="H67" s="96"/>
      <c r="I67" s="55"/>
      <c r="K67" s="294"/>
    </row>
    <row r="68" spans="1:9" s="290" customFormat="1" ht="26.25" thickBot="1">
      <c r="A68" s="295"/>
      <c r="B68" s="128"/>
      <c r="C68" s="295"/>
      <c r="D68" s="258" t="s">
        <v>68</v>
      </c>
      <c r="E68" s="128"/>
      <c r="F68" s="128"/>
      <c r="G68" s="128"/>
      <c r="H68" s="296">
        <f>SUM(H67:H67)</f>
        <v>0</v>
      </c>
      <c r="I68" s="55"/>
    </row>
    <row r="69" spans="1:9" s="290" customFormat="1" ht="24" thickTop="1">
      <c r="A69" s="291" t="s">
        <v>347</v>
      </c>
      <c r="B69" s="3"/>
      <c r="C69" s="3"/>
      <c r="D69" s="3"/>
      <c r="E69" s="297"/>
      <c r="F69" s="3"/>
      <c r="G69" s="297"/>
      <c r="H69" s="298"/>
      <c r="I69" s="55"/>
    </row>
    <row r="70" spans="1:9" s="290" customFormat="1" ht="23.25">
      <c r="A70" s="293"/>
      <c r="B70" s="55"/>
      <c r="C70" s="293"/>
      <c r="D70" s="258"/>
      <c r="E70" s="55"/>
      <c r="F70" s="55"/>
      <c r="G70" s="55"/>
      <c r="H70" s="96"/>
      <c r="I70" s="55"/>
    </row>
    <row r="71" spans="1:9" s="290" customFormat="1" ht="24" thickBot="1">
      <c r="A71" s="291"/>
      <c r="B71" s="55"/>
      <c r="C71" s="292"/>
      <c r="D71" s="258" t="s">
        <v>68</v>
      </c>
      <c r="E71" s="55"/>
      <c r="F71" s="55"/>
      <c r="G71" s="55"/>
      <c r="H71" s="299">
        <f>SUM(H70:H70)</f>
        <v>0</v>
      </c>
      <c r="I71" s="55"/>
    </row>
    <row r="72" spans="1:9" s="290" customFormat="1" ht="24" thickTop="1">
      <c r="A72" s="291" t="s">
        <v>348</v>
      </c>
      <c r="B72" s="3"/>
      <c r="C72" s="3"/>
      <c r="D72" s="3"/>
      <c r="E72" s="297"/>
      <c r="F72" s="3"/>
      <c r="G72" s="297"/>
      <c r="H72" s="298"/>
      <c r="I72" s="55"/>
    </row>
    <row r="73" spans="1:11" s="290" customFormat="1" ht="23.25">
      <c r="A73" s="293" t="s">
        <v>349</v>
      </c>
      <c r="B73" s="55"/>
      <c r="C73" s="293"/>
      <c r="D73" s="258"/>
      <c r="E73" s="55"/>
      <c r="F73" s="55"/>
      <c r="G73" s="55"/>
      <c r="H73" s="96">
        <v>571480</v>
      </c>
      <c r="I73" s="55"/>
      <c r="K73" s="294" t="e">
        <f>+#REF!-#REF!</f>
        <v>#REF!</v>
      </c>
    </row>
    <row r="74" spans="1:11" s="290" customFormat="1" ht="23.25">
      <c r="A74" s="293" t="s">
        <v>462</v>
      </c>
      <c r="B74" s="55"/>
      <c r="C74" s="293"/>
      <c r="D74" s="258"/>
      <c r="E74" s="55"/>
      <c r="F74" s="55"/>
      <c r="G74" s="55"/>
      <c r="H74" s="96">
        <v>3000</v>
      </c>
      <c r="I74" s="55"/>
      <c r="K74" s="294"/>
    </row>
    <row r="75" spans="1:11" s="290" customFormat="1" ht="23.25">
      <c r="A75" s="293" t="s">
        <v>463</v>
      </c>
      <c r="B75" s="55"/>
      <c r="C75" s="293"/>
      <c r="D75" s="258"/>
      <c r="E75" s="55"/>
      <c r="F75" s="55"/>
      <c r="G75" s="55"/>
      <c r="H75" s="96">
        <v>346000</v>
      </c>
      <c r="I75" s="55"/>
      <c r="K75" s="294"/>
    </row>
    <row r="76" spans="1:11" s="290" customFormat="1" ht="23.25">
      <c r="A76" s="293" t="s">
        <v>48</v>
      </c>
      <c r="B76" s="55"/>
      <c r="C76" s="293"/>
      <c r="D76" s="258"/>
      <c r="E76" s="55"/>
      <c r="F76" s="55"/>
      <c r="G76" s="55"/>
      <c r="H76" s="96">
        <v>18000</v>
      </c>
      <c r="I76" s="55"/>
      <c r="K76" s="294"/>
    </row>
    <row r="77" spans="1:11" s="290" customFormat="1" ht="23.25">
      <c r="A77" s="293" t="s">
        <v>464</v>
      </c>
      <c r="B77" s="55"/>
      <c r="C77" s="293"/>
      <c r="D77" s="258"/>
      <c r="E77" s="55"/>
      <c r="F77" s="55"/>
      <c r="G77" s="55"/>
      <c r="H77" s="96">
        <v>100000</v>
      </c>
      <c r="I77" s="55"/>
      <c r="K77" s="294"/>
    </row>
    <row r="78" spans="1:9" s="290" customFormat="1" ht="24" thickBot="1">
      <c r="A78" s="291"/>
      <c r="B78" s="55"/>
      <c r="C78" s="292"/>
      <c r="D78" s="258" t="s">
        <v>68</v>
      </c>
      <c r="E78" s="55"/>
      <c r="F78" s="55"/>
      <c r="G78" s="55"/>
      <c r="H78" s="299">
        <f>SUM(H73:H77)</f>
        <v>1038480</v>
      </c>
      <c r="I78" s="55"/>
    </row>
    <row r="79" spans="1:9" s="290" customFormat="1" ht="24" thickTop="1">
      <c r="A79" s="291" t="s">
        <v>350</v>
      </c>
      <c r="B79" s="55"/>
      <c r="C79" s="55"/>
      <c r="D79" s="55"/>
      <c r="E79" s="55"/>
      <c r="F79" s="55"/>
      <c r="G79" s="55"/>
      <c r="H79" s="56"/>
      <c r="I79" s="55"/>
    </row>
    <row r="80" spans="1:9" s="290" customFormat="1" ht="23.25">
      <c r="A80" s="300" t="s">
        <v>351</v>
      </c>
      <c r="B80" s="55"/>
      <c r="C80" s="55"/>
      <c r="D80" s="55"/>
      <c r="E80" s="258"/>
      <c r="F80" s="258"/>
      <c r="G80" s="258"/>
      <c r="H80" s="258" t="s">
        <v>92</v>
      </c>
      <c r="I80" s="55"/>
    </row>
    <row r="81" spans="1:12" s="290" customFormat="1" ht="23.25">
      <c r="A81" s="55" t="s">
        <v>352</v>
      </c>
      <c r="B81" s="55"/>
      <c r="C81" s="55"/>
      <c r="D81" s="55"/>
      <c r="E81" s="267"/>
      <c r="F81" s="3"/>
      <c r="G81" s="267"/>
      <c r="H81" s="267">
        <v>640453</v>
      </c>
      <c r="I81" s="55"/>
      <c r="L81" s="294"/>
    </row>
    <row r="82" spans="1:9" s="290" customFormat="1" ht="23.25">
      <c r="A82" s="55" t="s">
        <v>353</v>
      </c>
      <c r="B82" s="55"/>
      <c r="C82" s="55"/>
      <c r="D82" s="55"/>
      <c r="E82" s="56"/>
      <c r="F82" s="3"/>
      <c r="G82" s="56"/>
      <c r="H82" s="56">
        <v>2309.69</v>
      </c>
      <c r="I82" s="55"/>
    </row>
    <row r="83" spans="1:9" s="290" customFormat="1" ht="23.25">
      <c r="A83" s="55" t="s">
        <v>354</v>
      </c>
      <c r="B83" s="55"/>
      <c r="C83" s="55"/>
      <c r="D83" s="55"/>
      <c r="E83" s="56"/>
      <c r="F83" s="3"/>
      <c r="G83" s="56"/>
      <c r="H83" s="56">
        <v>19334.96</v>
      </c>
      <c r="I83" s="55"/>
    </row>
    <row r="84" spans="1:9" s="290" customFormat="1" ht="23.25">
      <c r="A84" s="55" t="s">
        <v>355</v>
      </c>
      <c r="B84" s="55"/>
      <c r="C84" s="55"/>
      <c r="D84" s="55"/>
      <c r="E84" s="56"/>
      <c r="F84" s="3"/>
      <c r="G84" s="56"/>
      <c r="H84" s="56">
        <f>4751+4751-4751+4910-4751-4910+4803-4803+4047-4047+3744-3774+3774-3744+3294+3294-3294+3294-3294+5962-3294+4005-9333+4946-4946+4199+4199-4199+4199-4199+4199-4199+4699-4199+4699-4699+4699-4699+4699-4699+4699-4699+4699-9398-634+4739-4739+4739+4739-4739+4739-4739+4739-4739+4739-4739+4739-4739+4739-4739+4739-4739+4632-4739+4075-4632-8150+4075</f>
        <v>0</v>
      </c>
      <c r="I84" s="55"/>
    </row>
    <row r="85" spans="1:9" s="290" customFormat="1" ht="23.25">
      <c r="A85" s="55" t="s">
        <v>356</v>
      </c>
      <c r="B85" s="55"/>
      <c r="C85" s="3"/>
      <c r="D85" s="3"/>
      <c r="E85" s="56"/>
      <c r="F85" s="3"/>
      <c r="G85" s="56"/>
      <c r="H85" s="56">
        <v>900000</v>
      </c>
      <c r="I85" s="55"/>
    </row>
    <row r="86" spans="1:9" s="290" customFormat="1" ht="23.25">
      <c r="A86" s="55" t="s">
        <v>357</v>
      </c>
      <c r="B86" s="55"/>
      <c r="C86" s="3"/>
      <c r="D86" s="3"/>
      <c r="E86" s="267"/>
      <c r="F86" s="3"/>
      <c r="G86" s="267"/>
      <c r="H86" s="96">
        <v>115823.51</v>
      </c>
      <c r="I86" s="55"/>
    </row>
    <row r="87" spans="1:9" s="290" customFormat="1" ht="23.25">
      <c r="A87" s="55" t="s">
        <v>358</v>
      </c>
      <c r="B87" s="55"/>
      <c r="C87" s="3"/>
      <c r="D87" s="3"/>
      <c r="E87" s="267"/>
      <c r="F87" s="3"/>
      <c r="G87" s="267"/>
      <c r="H87" s="267">
        <v>250</v>
      </c>
      <c r="I87" s="55"/>
    </row>
    <row r="88" spans="1:9" s="290" customFormat="1" ht="23.25">
      <c r="A88" s="286" t="s">
        <v>359</v>
      </c>
      <c r="B88" s="55"/>
      <c r="C88" s="3"/>
      <c r="D88" s="3"/>
      <c r="E88" s="267"/>
      <c r="F88" s="3"/>
      <c r="G88" s="267"/>
      <c r="H88" s="267">
        <f>39991.24-39990.15+39896.71-39896.71</f>
        <v>1.0899999999965075</v>
      </c>
      <c r="I88" s="55"/>
    </row>
    <row r="89" spans="1:9" s="290" customFormat="1" ht="23.25">
      <c r="A89" s="6" t="s">
        <v>68</v>
      </c>
      <c r="B89" s="3"/>
      <c r="C89" s="3"/>
      <c r="D89" s="3"/>
      <c r="E89" s="297"/>
      <c r="F89" s="3"/>
      <c r="G89" s="297"/>
      <c r="H89" s="298">
        <f>SUM(H81:H88)</f>
        <v>1678172.25</v>
      </c>
      <c r="I89" s="55"/>
    </row>
    <row r="90" spans="1:8" s="55" customFormat="1" ht="21">
      <c r="A90" s="55" t="s">
        <v>360</v>
      </c>
      <c r="D90" s="267"/>
      <c r="F90" s="268"/>
      <c r="H90" s="267">
        <v>18000</v>
      </c>
    </row>
    <row r="91" spans="1:9" s="290" customFormat="1" ht="23.25">
      <c r="A91" s="286" t="s">
        <v>361</v>
      </c>
      <c r="B91" s="55"/>
      <c r="C91" s="3"/>
      <c r="D91" s="3"/>
      <c r="E91" s="267"/>
      <c r="F91" s="3"/>
      <c r="G91" s="267"/>
      <c r="H91" s="96">
        <f>52836+23310</f>
        <v>76146</v>
      </c>
      <c r="I91" s="55"/>
    </row>
    <row r="92" spans="1:9" s="290" customFormat="1" ht="23.25">
      <c r="A92" s="6" t="s">
        <v>68</v>
      </c>
      <c r="B92" s="3"/>
      <c r="C92" s="3"/>
      <c r="D92" s="3"/>
      <c r="E92" s="297"/>
      <c r="F92" s="3"/>
      <c r="G92" s="297"/>
      <c r="H92" s="298">
        <f>SUM(H90:H91)</f>
        <v>94146</v>
      </c>
      <c r="I92" s="55"/>
    </row>
    <row r="93" spans="1:9" s="290" customFormat="1" ht="23.25">
      <c r="A93" s="6"/>
      <c r="B93" s="6" t="s">
        <v>362</v>
      </c>
      <c r="C93" s="6"/>
      <c r="D93" s="6"/>
      <c r="E93" s="297"/>
      <c r="F93" s="6"/>
      <c r="G93" s="297"/>
      <c r="H93" s="301">
        <f>+H89+H92</f>
        <v>1772318.25</v>
      </c>
      <c r="I93" s="55"/>
    </row>
    <row r="94" spans="1:9" s="290" customFormat="1" ht="23.25">
      <c r="A94" s="6"/>
      <c r="B94" s="6"/>
      <c r="C94" s="6"/>
      <c r="D94" s="6"/>
      <c r="E94" s="297"/>
      <c r="F94" s="6"/>
      <c r="G94" s="297"/>
      <c r="H94" s="301"/>
      <c r="I94" s="55"/>
    </row>
    <row r="95" spans="1:9" s="290" customFormat="1" ht="23.25">
      <c r="A95" s="6"/>
      <c r="B95" s="6"/>
      <c r="C95" s="6"/>
      <c r="D95" s="6"/>
      <c r="E95" s="297" t="s">
        <v>334</v>
      </c>
      <c r="F95" s="6"/>
      <c r="G95" s="297"/>
      <c r="H95" s="301"/>
      <c r="I95" s="55"/>
    </row>
    <row r="96" spans="1:9" s="290" customFormat="1" ht="23.25">
      <c r="A96" s="291" t="s">
        <v>363</v>
      </c>
      <c r="B96" s="3"/>
      <c r="C96" s="3"/>
      <c r="D96" s="3"/>
      <c r="E96" s="297"/>
      <c r="F96" s="3"/>
      <c r="G96" s="297"/>
      <c r="H96" s="301"/>
      <c r="I96" s="55"/>
    </row>
    <row r="97" spans="1:9" s="290" customFormat="1" ht="23.25">
      <c r="A97" s="291" t="s">
        <v>351</v>
      </c>
      <c r="B97" s="3"/>
      <c r="C97" s="3"/>
      <c r="D97" s="3"/>
      <c r="E97" s="297"/>
      <c r="F97" s="3"/>
      <c r="G97" s="297"/>
      <c r="H97" s="301"/>
      <c r="I97" s="55"/>
    </row>
    <row r="98" spans="1:8" s="55" customFormat="1" ht="21">
      <c r="A98" s="55" t="s">
        <v>364</v>
      </c>
      <c r="D98" s="267"/>
      <c r="E98" s="267"/>
      <c r="H98" s="267">
        <v>21800</v>
      </c>
    </row>
    <row r="99" spans="1:8" s="55" customFormat="1" ht="21">
      <c r="A99" s="55" t="s">
        <v>365</v>
      </c>
      <c r="D99" s="267"/>
      <c r="F99" s="268"/>
      <c r="H99" s="267">
        <f>139500-139500+500-4000-41500+158900-16000-97900+225600-142700-8800-63200+75200-77100+65600-8000-66600+212800-213100+3700-800-2600</f>
        <v>0</v>
      </c>
    </row>
    <row r="100" spans="1:8" s="55" customFormat="1" ht="21">
      <c r="A100" s="55" t="s">
        <v>366</v>
      </c>
      <c r="D100" s="267"/>
      <c r="E100" s="267"/>
      <c r="H100" s="267">
        <f>50760-33840-16920+200902+8280-110516-48670-48670+48910-48670+97820-97340+7160</f>
        <v>9206</v>
      </c>
    </row>
    <row r="101" spans="1:8" s="55" customFormat="1" ht="21">
      <c r="A101" s="55" t="s">
        <v>367</v>
      </c>
      <c r="D101" s="267"/>
      <c r="E101" s="302"/>
      <c r="F101" s="303"/>
      <c r="H101" s="267">
        <v>108358</v>
      </c>
    </row>
    <row r="102" spans="1:8" s="55" customFormat="1" ht="21">
      <c r="A102" s="55" t="s">
        <v>368</v>
      </c>
      <c r="D102" s="267"/>
      <c r="F102" s="268"/>
      <c r="H102" s="267">
        <f>13500-4500-4500-4295+23030</f>
        <v>23235</v>
      </c>
    </row>
    <row r="103" spans="1:8" s="55" customFormat="1" ht="21">
      <c r="A103" s="55" t="s">
        <v>369</v>
      </c>
      <c r="D103" s="267"/>
      <c r="F103" s="268"/>
      <c r="H103" s="267">
        <f>7615-2680-2250-2680+1250+2535-2535+2535+2535-1843-1540-1540-1090+1540-1090+800</f>
        <v>1562</v>
      </c>
    </row>
    <row r="104" spans="1:8" s="55" customFormat="1" ht="21">
      <c r="A104" s="55" t="s">
        <v>370</v>
      </c>
      <c r="D104" s="267"/>
      <c r="H104" s="267">
        <f>90100+90100-180200</f>
        <v>0</v>
      </c>
    </row>
    <row r="105" spans="1:8" s="55" customFormat="1" ht="21">
      <c r="A105" s="55" t="s">
        <v>371</v>
      </c>
      <c r="D105" s="267"/>
      <c r="H105" s="267">
        <f>3860-3630</f>
        <v>230</v>
      </c>
    </row>
    <row r="106" spans="1:8" s="55" customFormat="1" ht="21">
      <c r="A106" s="191" t="s">
        <v>465</v>
      </c>
      <c r="D106" s="267"/>
      <c r="H106" s="267">
        <v>1989</v>
      </c>
    </row>
    <row r="107" spans="1:9" s="290" customFormat="1" ht="23.25">
      <c r="A107" s="6" t="s">
        <v>68</v>
      </c>
      <c r="B107" s="55"/>
      <c r="C107" s="55"/>
      <c r="D107" s="55"/>
      <c r="E107" s="55"/>
      <c r="F107" s="55"/>
      <c r="G107" s="55"/>
      <c r="H107" s="304">
        <f>SUM(H98:H106)</f>
        <v>166380</v>
      </c>
      <c r="I107" s="55"/>
    </row>
    <row r="108" spans="1:9" s="290" customFormat="1" ht="23.25">
      <c r="A108" s="6"/>
      <c r="B108" s="55"/>
      <c r="C108" s="55"/>
      <c r="D108" s="55"/>
      <c r="E108" s="55"/>
      <c r="F108" s="55"/>
      <c r="G108" s="55"/>
      <c r="H108" s="304"/>
      <c r="I108" s="55"/>
    </row>
    <row r="109" spans="1:9" s="290" customFormat="1" ht="23.25">
      <c r="A109" s="291"/>
      <c r="B109" s="55"/>
      <c r="C109" s="55"/>
      <c r="D109" s="258"/>
      <c r="E109" s="55"/>
      <c r="F109" s="55"/>
      <c r="G109" s="55"/>
      <c r="H109" s="305"/>
      <c r="I109" s="55"/>
    </row>
    <row r="110" spans="1:9" s="290" customFormat="1" ht="23.25">
      <c r="A110" s="291"/>
      <c r="B110" s="55"/>
      <c r="C110" s="55"/>
      <c r="D110" s="258"/>
      <c r="E110" s="55"/>
      <c r="F110" s="55"/>
      <c r="G110" s="55"/>
      <c r="H110" s="305"/>
      <c r="I110" s="55"/>
    </row>
    <row r="111" spans="1:9" s="290" customFormat="1" ht="23.25">
      <c r="A111" s="55"/>
      <c r="B111" s="558" t="s">
        <v>338</v>
      </c>
      <c r="C111" s="558"/>
      <c r="D111" s="258"/>
      <c r="E111" s="558" t="s">
        <v>339</v>
      </c>
      <c r="F111" s="558"/>
      <c r="G111" s="558"/>
      <c r="H111" s="267"/>
      <c r="I111" s="55"/>
    </row>
    <row r="112" spans="1:9" s="290" customFormat="1" ht="23.25">
      <c r="A112" s="55"/>
      <c r="B112" s="558" t="s">
        <v>340</v>
      </c>
      <c r="C112" s="558"/>
      <c r="D112" s="258"/>
      <c r="E112" s="558" t="s">
        <v>372</v>
      </c>
      <c r="F112" s="558"/>
      <c r="G112" s="558"/>
      <c r="H112" s="267"/>
      <c r="I112" s="55"/>
    </row>
    <row r="113" spans="1:9" s="290" customFormat="1" ht="23.25">
      <c r="A113" s="55"/>
      <c r="B113" s="288"/>
      <c r="C113" s="288"/>
      <c r="D113" s="258"/>
      <c r="E113" s="288"/>
      <c r="F113" s="288"/>
      <c r="G113" s="288"/>
      <c r="H113" s="267"/>
      <c r="I113" s="55"/>
    </row>
    <row r="114" spans="1:9" s="290" customFormat="1" ht="23.25">
      <c r="A114" s="306"/>
      <c r="B114" s="306"/>
      <c r="C114" s="306"/>
      <c r="D114" s="306"/>
      <c r="E114" s="306"/>
      <c r="F114" s="558"/>
      <c r="G114" s="558"/>
      <c r="H114" s="558"/>
      <c r="I114" s="55"/>
    </row>
    <row r="115" spans="1:9" s="290" customFormat="1" ht="23.25">
      <c r="A115" s="558" t="s">
        <v>342</v>
      </c>
      <c r="B115" s="558"/>
      <c r="C115" s="558"/>
      <c r="D115" s="558"/>
      <c r="E115" s="558"/>
      <c r="F115" s="558"/>
      <c r="G115" s="558"/>
      <c r="H115" s="558"/>
      <c r="I115" s="55"/>
    </row>
    <row r="116" spans="1:9" s="290" customFormat="1" ht="23.25">
      <c r="A116" s="558" t="s">
        <v>343</v>
      </c>
      <c r="B116" s="558"/>
      <c r="C116" s="558"/>
      <c r="D116" s="558"/>
      <c r="E116" s="558"/>
      <c r="F116" s="558"/>
      <c r="G116" s="558"/>
      <c r="H116" s="558"/>
      <c r="I116" s="55"/>
    </row>
    <row r="117" spans="1:9" s="290" customFormat="1" ht="23.25">
      <c r="A117" s="288"/>
      <c r="B117" s="288"/>
      <c r="C117" s="288"/>
      <c r="D117" s="288"/>
      <c r="E117" s="288"/>
      <c r="F117" s="288"/>
      <c r="G117" s="288"/>
      <c r="H117" s="288"/>
      <c r="I117" s="55"/>
    </row>
    <row r="118" spans="1:9" s="290" customFormat="1" ht="23.25">
      <c r="A118" s="288"/>
      <c r="B118" s="288"/>
      <c r="C118" s="288"/>
      <c r="D118" s="288"/>
      <c r="E118" s="288"/>
      <c r="F118" s="288"/>
      <c r="G118" s="288"/>
      <c r="H118" s="288"/>
      <c r="I118" s="55"/>
    </row>
    <row r="119" spans="1:9" s="290" customFormat="1" ht="23.25">
      <c r="A119" s="291"/>
      <c r="B119" s="55"/>
      <c r="C119" s="55"/>
      <c r="D119" s="258"/>
      <c r="E119" s="55"/>
      <c r="F119" s="55"/>
      <c r="G119" s="55"/>
      <c r="H119" s="287"/>
      <c r="I119" s="55"/>
    </row>
    <row r="120" spans="1:9" s="290" customFormat="1" ht="23.25">
      <c r="A120" s="306"/>
      <c r="B120" s="306"/>
      <c r="C120" s="306"/>
      <c r="D120" s="306"/>
      <c r="E120" s="306"/>
      <c r="F120" s="558"/>
      <c r="G120" s="558"/>
      <c r="H120" s="558"/>
      <c r="I120" s="55"/>
    </row>
    <row r="121" spans="1:9" s="290" customFormat="1" ht="23.25">
      <c r="A121" s="55"/>
      <c r="B121" s="288"/>
      <c r="C121" s="288"/>
      <c r="D121" s="258"/>
      <c r="E121" s="288"/>
      <c r="F121" s="288"/>
      <c r="G121" s="288"/>
      <c r="H121" s="267"/>
      <c r="I121" s="55"/>
    </row>
    <row r="122" spans="1:9" s="290" customFormat="1" ht="23.25">
      <c r="A122" s="306"/>
      <c r="B122" s="306"/>
      <c r="C122" s="306"/>
      <c r="D122" s="306"/>
      <c r="E122" s="306"/>
      <c r="F122" s="558"/>
      <c r="G122" s="558"/>
      <c r="H122" s="558"/>
      <c r="I122" s="55"/>
    </row>
    <row r="123" spans="1:9" s="290" customFormat="1" ht="23.25">
      <c r="A123" s="291"/>
      <c r="B123" s="55"/>
      <c r="C123" s="55"/>
      <c r="D123" s="258"/>
      <c r="E123" s="55"/>
      <c r="F123" s="55"/>
      <c r="G123" s="55"/>
      <c r="H123" s="287"/>
      <c r="I123" s="55"/>
    </row>
  </sheetData>
  <sheetProtection/>
  <mergeCells count="21">
    <mergeCell ref="A1:H1"/>
    <mergeCell ref="A2:H2"/>
    <mergeCell ref="B48:C48"/>
    <mergeCell ref="E48:G48"/>
    <mergeCell ref="B49:C49"/>
    <mergeCell ref="E49:G49"/>
    <mergeCell ref="F51:H51"/>
    <mergeCell ref="A52:H52"/>
    <mergeCell ref="A53:H53"/>
    <mergeCell ref="F63:H63"/>
    <mergeCell ref="A64:H64"/>
    <mergeCell ref="A65:H65"/>
    <mergeCell ref="A116:H116"/>
    <mergeCell ref="F120:H120"/>
    <mergeCell ref="F122:H122"/>
    <mergeCell ref="B111:C111"/>
    <mergeCell ref="E111:G111"/>
    <mergeCell ref="B112:C112"/>
    <mergeCell ref="E112:G112"/>
    <mergeCell ref="F114:H114"/>
    <mergeCell ref="A115:H1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SheetLayoutView="100" zoomScalePageLayoutView="0" workbookViewId="0" topLeftCell="A1">
      <selection activeCell="E20" sqref="E20"/>
    </sheetView>
  </sheetViews>
  <sheetFormatPr defaultColWidth="9.140625" defaultRowHeight="15"/>
  <cols>
    <col min="1" max="1" width="15.7109375" style="3" customWidth="1"/>
    <col min="2" max="2" width="17.57421875" style="3" customWidth="1"/>
    <col min="3" max="3" width="12.57421875" style="3" customWidth="1"/>
    <col min="4" max="4" width="14.140625" style="3" customWidth="1"/>
    <col min="5" max="5" width="17.140625" style="3" customWidth="1"/>
    <col min="6" max="6" width="23.57421875" style="3" customWidth="1"/>
    <col min="7" max="7" width="16.28125" style="3" customWidth="1"/>
    <col min="8" max="8" width="16.7109375" style="3" customWidth="1"/>
    <col min="9" max="16384" width="9.00390625" style="3" customWidth="1"/>
  </cols>
  <sheetData>
    <row r="1" spans="1:8" ht="21">
      <c r="A1" s="604" t="str">
        <f>+งบแสดงฐานะการเงิน!A1</f>
        <v>องค์การบริหารส่วนตำบลโพนทอง</v>
      </c>
      <c r="B1" s="604"/>
      <c r="C1" s="604"/>
      <c r="D1" s="604"/>
      <c r="E1" s="604"/>
      <c r="F1" s="604"/>
      <c r="G1" s="604"/>
      <c r="H1" s="604"/>
    </row>
    <row r="2" spans="1:8" ht="21">
      <c r="A2" s="604" t="s">
        <v>105</v>
      </c>
      <c r="B2" s="604"/>
      <c r="C2" s="604"/>
      <c r="D2" s="604"/>
      <c r="E2" s="604"/>
      <c r="F2" s="604"/>
      <c r="G2" s="604"/>
      <c r="H2" s="604"/>
    </row>
    <row r="3" spans="1:8" ht="21">
      <c r="A3" s="604" t="s">
        <v>275</v>
      </c>
      <c r="B3" s="604"/>
      <c r="C3" s="604"/>
      <c r="D3" s="604"/>
      <c r="E3" s="604"/>
      <c r="F3" s="604"/>
      <c r="G3" s="604"/>
      <c r="H3" s="604"/>
    </row>
    <row r="5" spans="1:8" s="7" customFormat="1" ht="39.75" customHeight="1">
      <c r="A5" s="13" t="s">
        <v>94</v>
      </c>
      <c r="B5" s="13" t="s">
        <v>79</v>
      </c>
      <c r="C5" s="13" t="s">
        <v>76</v>
      </c>
      <c r="D5" s="14" t="s">
        <v>29</v>
      </c>
      <c r="E5" s="15" t="s">
        <v>106</v>
      </c>
      <c r="F5" s="17" t="s">
        <v>107</v>
      </c>
      <c r="G5" s="17" t="s">
        <v>108</v>
      </c>
      <c r="H5" s="13" t="s">
        <v>68</v>
      </c>
    </row>
    <row r="6" spans="1:8" ht="21">
      <c r="A6" s="8" t="s">
        <v>96</v>
      </c>
      <c r="B6" s="8" t="s">
        <v>97</v>
      </c>
      <c r="C6" s="174" t="s">
        <v>575</v>
      </c>
      <c r="D6" s="10">
        <v>2225520</v>
      </c>
      <c r="E6" s="10">
        <v>2191981</v>
      </c>
      <c r="F6" s="10"/>
      <c r="G6" s="10"/>
      <c r="H6" s="389">
        <f>SUM(E6:G6)</f>
        <v>2191981</v>
      </c>
    </row>
    <row r="7" spans="1:8" ht="21">
      <c r="A7" s="9"/>
      <c r="B7" s="9" t="s">
        <v>98</v>
      </c>
      <c r="C7" s="88" t="s">
        <v>575</v>
      </c>
      <c r="D7" s="11">
        <f>2572200+1417920</f>
        <v>3990120</v>
      </c>
      <c r="E7" s="11">
        <f>2518825</f>
        <v>2518825</v>
      </c>
      <c r="F7" s="11"/>
      <c r="G7" s="11">
        <v>1398460</v>
      </c>
      <c r="H7" s="390">
        <f>SUM(E7:G7)</f>
        <v>3917285</v>
      </c>
    </row>
    <row r="8" spans="1:8" ht="21">
      <c r="A8" s="9" t="s">
        <v>99</v>
      </c>
      <c r="B8" s="16" t="s">
        <v>45</v>
      </c>
      <c r="C8" s="88" t="s">
        <v>575</v>
      </c>
      <c r="D8" s="11">
        <f>225600+191600</f>
        <v>417200</v>
      </c>
      <c r="E8" s="11">
        <v>215240</v>
      </c>
      <c r="F8" s="11"/>
      <c r="G8" s="11">
        <v>166160</v>
      </c>
      <c r="H8" s="390">
        <f aca="true" t="shared" si="0" ref="H8:H15">SUM(E8:G8)</f>
        <v>381400</v>
      </c>
    </row>
    <row r="9" spans="1:8" ht="21">
      <c r="A9" s="9"/>
      <c r="B9" s="16" t="s">
        <v>46</v>
      </c>
      <c r="C9" s="88" t="s">
        <v>575</v>
      </c>
      <c r="D9" s="11">
        <f>688600+15000+150000</f>
        <v>853600</v>
      </c>
      <c r="E9" s="11">
        <v>529671.22</v>
      </c>
      <c r="F9" s="11">
        <v>8360</v>
      </c>
      <c r="G9" s="11">
        <v>93817</v>
      </c>
      <c r="H9" s="390">
        <f t="shared" si="0"/>
        <v>631848.22</v>
      </c>
    </row>
    <row r="10" spans="1:8" ht="21">
      <c r="A10" s="9"/>
      <c r="B10" s="16" t="s">
        <v>47</v>
      </c>
      <c r="C10" s="88" t="s">
        <v>575</v>
      </c>
      <c r="D10" s="11">
        <f>329000+50000</f>
        <v>379000</v>
      </c>
      <c r="E10" s="11">
        <v>272226.65</v>
      </c>
      <c r="F10" s="11"/>
      <c r="G10" s="11">
        <v>49533.9</v>
      </c>
      <c r="H10" s="390">
        <f t="shared" si="0"/>
        <v>321760.55000000005</v>
      </c>
    </row>
    <row r="11" spans="1:8" ht="21">
      <c r="A11" s="9"/>
      <c r="B11" s="16" t="s">
        <v>100</v>
      </c>
      <c r="C11" s="88" t="s">
        <v>575</v>
      </c>
      <c r="D11" s="11">
        <f>363000+15000</f>
        <v>378000</v>
      </c>
      <c r="E11" s="11">
        <v>247541.64</v>
      </c>
      <c r="F11" s="11"/>
      <c r="G11" s="11">
        <v>6210</v>
      </c>
      <c r="H11" s="390">
        <f t="shared" si="0"/>
        <v>253751.64</v>
      </c>
    </row>
    <row r="12" spans="1:8" ht="21">
      <c r="A12" s="9" t="s">
        <v>102</v>
      </c>
      <c r="B12" s="16" t="s">
        <v>101</v>
      </c>
      <c r="C12" s="88" t="s">
        <v>575</v>
      </c>
      <c r="D12" s="11">
        <f>46900+29800</f>
        <v>76700</v>
      </c>
      <c r="E12" s="11">
        <v>43900</v>
      </c>
      <c r="F12" s="11"/>
      <c r="G12" s="11">
        <v>27900</v>
      </c>
      <c r="H12" s="390">
        <f t="shared" si="0"/>
        <v>71800</v>
      </c>
    </row>
    <row r="13" spans="1:8" ht="21">
      <c r="A13" s="9"/>
      <c r="B13" s="16" t="s">
        <v>50</v>
      </c>
      <c r="C13" s="88" t="s">
        <v>575</v>
      </c>
      <c r="D13" s="11">
        <v>0</v>
      </c>
      <c r="E13" s="11">
        <v>0</v>
      </c>
      <c r="F13" s="11"/>
      <c r="G13" s="11"/>
      <c r="H13" s="390">
        <f t="shared" si="0"/>
        <v>0</v>
      </c>
    </row>
    <row r="14" spans="1:8" ht="21">
      <c r="A14" s="9" t="s">
        <v>103</v>
      </c>
      <c r="B14" s="16" t="s">
        <v>48</v>
      </c>
      <c r="C14" s="88" t="s">
        <v>575</v>
      </c>
      <c r="D14" s="11">
        <v>20000</v>
      </c>
      <c r="E14" s="11">
        <v>18000</v>
      </c>
      <c r="F14" s="11"/>
      <c r="G14" s="11"/>
      <c r="H14" s="390">
        <f t="shared" si="0"/>
        <v>18000</v>
      </c>
    </row>
    <row r="15" spans="1:8" ht="21">
      <c r="A15" s="9" t="s">
        <v>104</v>
      </c>
      <c r="B15" s="16" t="s">
        <v>28</v>
      </c>
      <c r="C15" s="88" t="s">
        <v>575</v>
      </c>
      <c r="D15" s="11">
        <v>15000</v>
      </c>
      <c r="E15" s="11">
        <v>15000</v>
      </c>
      <c r="F15" s="11"/>
      <c r="G15" s="11"/>
      <c r="H15" s="390">
        <f t="shared" si="0"/>
        <v>15000</v>
      </c>
    </row>
    <row r="16" spans="1:8" ht="21.75" thickBot="1">
      <c r="A16" s="603" t="s">
        <v>68</v>
      </c>
      <c r="B16" s="603"/>
      <c r="C16" s="603"/>
      <c r="D16" s="82">
        <f>SUM(D6:D15)</f>
        <v>8355140</v>
      </c>
      <c r="E16" s="82">
        <f>SUM(E6:E15)</f>
        <v>6052385.51</v>
      </c>
      <c r="F16" s="82">
        <f>SUM(F6:F15)</f>
        <v>8360</v>
      </c>
      <c r="G16" s="82">
        <f>SUM(G6:G15)</f>
        <v>1742080.9</v>
      </c>
      <c r="H16" s="82">
        <f>SUM(H6:H15)</f>
        <v>7802826.409999999</v>
      </c>
    </row>
    <row r="17" ht="21.75" thickTop="1"/>
    <row r="18" spans="1:5" ht="21">
      <c r="A18" s="6" t="s">
        <v>95</v>
      </c>
      <c r="E18" s="70"/>
    </row>
    <row r="19" spans="1:5" ht="21">
      <c r="A19" s="6"/>
      <c r="E19" s="70"/>
    </row>
    <row r="21" spans="1:8" ht="21">
      <c r="A21" s="630" t="s">
        <v>338</v>
      </c>
      <c r="B21" s="630"/>
      <c r="C21" s="630"/>
      <c r="D21" s="630" t="s">
        <v>339</v>
      </c>
      <c r="E21" s="630"/>
      <c r="F21" s="630"/>
      <c r="G21" s="600" t="s">
        <v>342</v>
      </c>
      <c r="H21" s="600"/>
    </row>
    <row r="22" spans="1:8" ht="21">
      <c r="A22" s="630" t="s">
        <v>340</v>
      </c>
      <c r="B22" s="630"/>
      <c r="C22" s="630"/>
      <c r="D22" s="630" t="s">
        <v>372</v>
      </c>
      <c r="E22" s="630"/>
      <c r="F22" s="630"/>
      <c r="G22" s="600" t="s">
        <v>343</v>
      </c>
      <c r="H22" s="600"/>
    </row>
  </sheetData>
  <sheetProtection/>
  <mergeCells count="10">
    <mergeCell ref="D21:F21"/>
    <mergeCell ref="D22:F22"/>
    <mergeCell ref="A21:C21"/>
    <mergeCell ref="A22:C22"/>
    <mergeCell ref="A1:H1"/>
    <mergeCell ref="A2:H2"/>
    <mergeCell ref="A3:H3"/>
    <mergeCell ref="A16:C16"/>
    <mergeCell ref="G21:H21"/>
    <mergeCell ref="G22:H2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="90" zoomScaleSheetLayoutView="90" zoomScalePageLayoutView="0" workbookViewId="0" topLeftCell="C1">
      <selection activeCell="F22" sqref="F22:H23"/>
    </sheetView>
  </sheetViews>
  <sheetFormatPr defaultColWidth="9.140625" defaultRowHeight="15"/>
  <cols>
    <col min="1" max="1" width="15.7109375" style="3" customWidth="1"/>
    <col min="2" max="2" width="20.140625" style="3" customWidth="1"/>
    <col min="3" max="3" width="17.57421875" style="3" customWidth="1"/>
    <col min="4" max="4" width="16.00390625" style="3" customWidth="1"/>
    <col min="5" max="5" width="18.00390625" style="3" customWidth="1"/>
    <col min="6" max="6" width="12.421875" style="3" customWidth="1"/>
    <col min="7" max="7" width="16.28125" style="3" customWidth="1"/>
    <col min="8" max="8" width="14.140625" style="3" customWidth="1"/>
    <col min="9" max="16384" width="9.00390625" style="3" customWidth="1"/>
  </cols>
  <sheetData>
    <row r="1" spans="1:8" ht="21">
      <c r="A1" s="604" t="str">
        <f>+งบแสดงฐานะการเงิน!A1</f>
        <v>องค์การบริหารส่วนตำบลโพนทอง</v>
      </c>
      <c r="B1" s="604"/>
      <c r="C1" s="604"/>
      <c r="D1" s="604"/>
      <c r="E1" s="604"/>
      <c r="F1" s="604"/>
      <c r="G1" s="604"/>
      <c r="H1" s="604"/>
    </row>
    <row r="2" spans="1:8" ht="21">
      <c r="A2" s="604" t="s">
        <v>109</v>
      </c>
      <c r="B2" s="604"/>
      <c r="C2" s="604"/>
      <c r="D2" s="604"/>
      <c r="E2" s="604"/>
      <c r="F2" s="604"/>
      <c r="G2" s="604"/>
      <c r="H2" s="604"/>
    </row>
    <row r="3" spans="1:8" ht="21">
      <c r="A3" s="604" t="str">
        <f>+'ตามแผนงาน 1'!A3:F3</f>
        <v>ตั้งแต่วันที่  1  ตุลาคม 2560  ถึง  30 กันยายน 2561</v>
      </c>
      <c r="B3" s="604"/>
      <c r="C3" s="604"/>
      <c r="D3" s="604"/>
      <c r="E3" s="604"/>
      <c r="F3" s="604"/>
      <c r="G3" s="604"/>
      <c r="H3" s="604"/>
    </row>
    <row r="5" spans="1:8" s="7" customFormat="1" ht="63">
      <c r="A5" s="13" t="s">
        <v>94</v>
      </c>
      <c r="B5" s="13" t="s">
        <v>79</v>
      </c>
      <c r="C5" s="13" t="s">
        <v>76</v>
      </c>
      <c r="D5" s="14" t="s">
        <v>29</v>
      </c>
      <c r="E5" s="18" t="s">
        <v>110</v>
      </c>
      <c r="F5" s="17" t="s">
        <v>111</v>
      </c>
      <c r="G5" s="17" t="s">
        <v>112</v>
      </c>
      <c r="H5" s="13" t="s">
        <v>68</v>
      </c>
    </row>
    <row r="6" spans="1:8" s="90" customFormat="1" ht="21.75" customHeight="1">
      <c r="A6" s="8" t="s">
        <v>96</v>
      </c>
      <c r="B6" s="8" t="s">
        <v>97</v>
      </c>
      <c r="C6" s="174" t="s">
        <v>575</v>
      </c>
      <c r="D6" s="10"/>
      <c r="E6" s="10"/>
      <c r="F6" s="10"/>
      <c r="G6" s="10"/>
      <c r="H6" s="247">
        <f>SUM(E6:G6)</f>
        <v>0</v>
      </c>
    </row>
    <row r="7" spans="1:8" s="90" customFormat="1" ht="21.75" customHeight="1">
      <c r="A7" s="88"/>
      <c r="B7" s="88" t="s">
        <v>98</v>
      </c>
      <c r="C7" s="88" t="s">
        <v>575</v>
      </c>
      <c r="D7" s="11"/>
      <c r="E7" s="11"/>
      <c r="F7" s="11"/>
      <c r="G7" s="11"/>
      <c r="H7" s="248">
        <f>SUM(E7:G7)</f>
        <v>0</v>
      </c>
    </row>
    <row r="8" spans="1:8" ht="21.75" customHeight="1">
      <c r="A8" s="9" t="s">
        <v>99</v>
      </c>
      <c r="B8" s="16" t="s">
        <v>45</v>
      </c>
      <c r="C8" s="88" t="s">
        <v>575</v>
      </c>
      <c r="D8" s="11"/>
      <c r="E8" s="11"/>
      <c r="F8" s="11"/>
      <c r="G8" s="11"/>
      <c r="H8" s="248">
        <f aca="true" t="shared" si="0" ref="H8:H16">SUM(E8:G8)</f>
        <v>0</v>
      </c>
    </row>
    <row r="9" spans="1:8" ht="21.75" customHeight="1">
      <c r="A9" s="9"/>
      <c r="B9" s="91" t="s">
        <v>46</v>
      </c>
      <c r="C9" s="88" t="s">
        <v>575</v>
      </c>
      <c r="D9" s="11">
        <v>50000</v>
      </c>
      <c r="E9" s="11"/>
      <c r="F9" s="11"/>
      <c r="G9" s="11">
        <v>31250</v>
      </c>
      <c r="H9" s="248">
        <f t="shared" si="0"/>
        <v>31250</v>
      </c>
    </row>
    <row r="10" spans="1:8" ht="21.75" customHeight="1">
      <c r="A10" s="9"/>
      <c r="B10" s="16" t="s">
        <v>47</v>
      </c>
      <c r="C10" s="88" t="s">
        <v>575</v>
      </c>
      <c r="D10" s="11">
        <v>10000</v>
      </c>
      <c r="E10" s="11"/>
      <c r="F10" s="11"/>
      <c r="G10" s="11"/>
      <c r="H10" s="248">
        <f t="shared" si="0"/>
        <v>0</v>
      </c>
    </row>
    <row r="11" spans="1:8" ht="21.75" customHeight="1">
      <c r="A11" s="9"/>
      <c r="B11" s="16" t="s">
        <v>100</v>
      </c>
      <c r="C11" s="88" t="s">
        <v>575</v>
      </c>
      <c r="D11" s="11"/>
      <c r="E11" s="11"/>
      <c r="F11" s="11"/>
      <c r="G11" s="11"/>
      <c r="H11" s="248">
        <f t="shared" si="0"/>
        <v>0</v>
      </c>
    </row>
    <row r="12" spans="1:8" ht="21.75" customHeight="1">
      <c r="A12" s="9" t="s">
        <v>102</v>
      </c>
      <c r="B12" s="16" t="s">
        <v>101</v>
      </c>
      <c r="C12" s="88" t="s">
        <v>575</v>
      </c>
      <c r="D12" s="11">
        <v>6000</v>
      </c>
      <c r="E12" s="11"/>
      <c r="F12" s="11"/>
      <c r="G12" s="11">
        <v>6000</v>
      </c>
      <c r="H12" s="248">
        <f t="shared" si="0"/>
        <v>6000</v>
      </c>
    </row>
    <row r="13" spans="1:8" ht="21.75" customHeight="1">
      <c r="A13" s="9"/>
      <c r="B13" s="16" t="s">
        <v>50</v>
      </c>
      <c r="C13" s="88" t="s">
        <v>575</v>
      </c>
      <c r="D13" s="11"/>
      <c r="E13" s="11"/>
      <c r="F13" s="11"/>
      <c r="G13" s="11"/>
      <c r="H13" s="248">
        <f t="shared" si="0"/>
        <v>0</v>
      </c>
    </row>
    <row r="14" spans="1:8" ht="21.75" customHeight="1">
      <c r="A14" s="88"/>
      <c r="B14" s="91" t="s">
        <v>50</v>
      </c>
      <c r="C14" s="88" t="s">
        <v>695</v>
      </c>
      <c r="D14" s="11"/>
      <c r="E14" s="11"/>
      <c r="F14" s="11"/>
      <c r="G14" s="11"/>
      <c r="H14" s="248">
        <f t="shared" si="0"/>
        <v>0</v>
      </c>
    </row>
    <row r="15" spans="1:8" ht="21.75" customHeight="1">
      <c r="A15" s="9" t="s">
        <v>103</v>
      </c>
      <c r="B15" s="16" t="s">
        <v>48</v>
      </c>
      <c r="C15" s="88" t="s">
        <v>575</v>
      </c>
      <c r="D15" s="11"/>
      <c r="E15" s="11"/>
      <c r="F15" s="11"/>
      <c r="G15" s="11"/>
      <c r="H15" s="248">
        <f t="shared" si="0"/>
        <v>0</v>
      </c>
    </row>
    <row r="16" spans="1:8" ht="21.75" customHeight="1">
      <c r="A16" s="9" t="s">
        <v>104</v>
      </c>
      <c r="B16" s="16" t="s">
        <v>28</v>
      </c>
      <c r="C16" s="88" t="s">
        <v>575</v>
      </c>
      <c r="D16" s="11"/>
      <c r="E16" s="11"/>
      <c r="F16" s="11"/>
      <c r="G16" s="11"/>
      <c r="H16" s="248">
        <f t="shared" si="0"/>
        <v>0</v>
      </c>
    </row>
    <row r="17" spans="1:8" ht="21.75" customHeight="1" thickBot="1">
      <c r="A17" s="603" t="s">
        <v>68</v>
      </c>
      <c r="B17" s="603"/>
      <c r="C17" s="603"/>
      <c r="D17" s="82">
        <f>SUM(D8:D16)</f>
        <v>66000</v>
      </c>
      <c r="E17" s="82">
        <f>SUM(E8:E16)</f>
        <v>0</v>
      </c>
      <c r="F17" s="82">
        <f>SUM(F8:F16)</f>
        <v>0</v>
      </c>
      <c r="G17" s="82">
        <f>SUM(G8:G16)</f>
        <v>37250</v>
      </c>
      <c r="H17" s="82">
        <f>SUM(H8:H16)</f>
        <v>37250</v>
      </c>
    </row>
    <row r="18" ht="15.75" customHeight="1" thickTop="1"/>
    <row r="19" ht="21">
      <c r="A19" s="6" t="s">
        <v>95</v>
      </c>
    </row>
    <row r="20" ht="21">
      <c r="A20" s="6"/>
    </row>
    <row r="22" spans="1:8" ht="21">
      <c r="A22" s="630" t="s">
        <v>338</v>
      </c>
      <c r="B22" s="630"/>
      <c r="C22" s="630" t="s">
        <v>339</v>
      </c>
      <c r="D22" s="630"/>
      <c r="E22" s="630"/>
      <c r="F22" s="590" t="s">
        <v>342</v>
      </c>
      <c r="G22" s="590"/>
      <c r="H22" s="590"/>
    </row>
    <row r="23" spans="1:8" ht="21">
      <c r="A23" s="630" t="s">
        <v>340</v>
      </c>
      <c r="B23" s="630"/>
      <c r="C23" s="630" t="s">
        <v>372</v>
      </c>
      <c r="D23" s="630"/>
      <c r="E23" s="630"/>
      <c r="F23" s="590" t="s">
        <v>705</v>
      </c>
      <c r="G23" s="590"/>
      <c r="H23" s="590"/>
    </row>
  </sheetData>
  <sheetProtection/>
  <mergeCells count="10">
    <mergeCell ref="A1:H1"/>
    <mergeCell ref="A2:H2"/>
    <mergeCell ref="A3:H3"/>
    <mergeCell ref="A17:C17"/>
    <mergeCell ref="A22:B22"/>
    <mergeCell ref="A23:B23"/>
    <mergeCell ref="C22:E22"/>
    <mergeCell ref="C23:E23"/>
    <mergeCell ref="F22:H22"/>
    <mergeCell ref="F23:H23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3"/>
  <sheetViews>
    <sheetView zoomScaleSheetLayoutView="80" zoomScalePageLayoutView="0" workbookViewId="0" topLeftCell="A1">
      <selection activeCell="C23" sqref="C23"/>
    </sheetView>
  </sheetViews>
  <sheetFormatPr defaultColWidth="9.140625" defaultRowHeight="15"/>
  <cols>
    <col min="1" max="1" width="15.7109375" style="3" customWidth="1"/>
    <col min="2" max="2" width="20.140625" style="3" customWidth="1"/>
    <col min="3" max="3" width="15.421875" style="3" customWidth="1"/>
    <col min="4" max="4" width="15.28125" style="3" customWidth="1"/>
    <col min="5" max="5" width="17.421875" style="3" customWidth="1"/>
    <col min="6" max="6" width="16.28125" style="3" customWidth="1"/>
    <col min="7" max="7" width="13.57421875" style="3" customWidth="1"/>
    <col min="8" max="8" width="14.421875" style="3" customWidth="1"/>
    <col min="9" max="9" width="15.8515625" style="3" customWidth="1"/>
    <col min="10" max="16384" width="9.00390625" style="3" customWidth="1"/>
  </cols>
  <sheetData>
    <row r="1" spans="1:9" ht="21">
      <c r="A1" s="604" t="str">
        <f>+งบแสดงฐานะการเงิน!A1</f>
        <v>องค์การบริหารส่วนตำบลโพนทอง</v>
      </c>
      <c r="B1" s="604"/>
      <c r="C1" s="604"/>
      <c r="D1" s="604"/>
      <c r="E1" s="604"/>
      <c r="F1" s="604"/>
      <c r="G1" s="604"/>
      <c r="H1" s="604"/>
      <c r="I1" s="604"/>
    </row>
    <row r="2" spans="1:9" ht="21">
      <c r="A2" s="604" t="s">
        <v>113</v>
      </c>
      <c r="B2" s="604"/>
      <c r="C2" s="604"/>
      <c r="D2" s="604"/>
      <c r="E2" s="604"/>
      <c r="F2" s="604"/>
      <c r="G2" s="604"/>
      <c r="H2" s="604"/>
      <c r="I2" s="604"/>
    </row>
    <row r="3" spans="1:9" ht="21">
      <c r="A3" s="604" t="str">
        <f>+'ตามแผนงาน 1'!A3:F3</f>
        <v>ตั้งแต่วันที่  1  ตุลาคม 2560  ถึง  30 กันยายน 2561</v>
      </c>
      <c r="B3" s="604"/>
      <c r="C3" s="604"/>
      <c r="D3" s="604"/>
      <c r="E3" s="604"/>
      <c r="F3" s="604"/>
      <c r="G3" s="604"/>
      <c r="H3" s="604"/>
      <c r="I3" s="604"/>
    </row>
    <row r="5" spans="1:9" s="7" customFormat="1" ht="63">
      <c r="A5" s="13" t="s">
        <v>94</v>
      </c>
      <c r="B5" s="13" t="s">
        <v>79</v>
      </c>
      <c r="C5" s="13" t="s">
        <v>76</v>
      </c>
      <c r="D5" s="14" t="s">
        <v>29</v>
      </c>
      <c r="E5" s="18" t="s">
        <v>114</v>
      </c>
      <c r="F5" s="17" t="s">
        <v>115</v>
      </c>
      <c r="G5" s="17" t="s">
        <v>116</v>
      </c>
      <c r="H5" s="19" t="s">
        <v>117</v>
      </c>
      <c r="I5" s="13" t="s">
        <v>68</v>
      </c>
    </row>
    <row r="6" spans="1:9" ht="21">
      <c r="A6" s="8" t="s">
        <v>96</v>
      </c>
      <c r="B6" s="8" t="s">
        <v>97</v>
      </c>
      <c r="C6" s="174" t="s">
        <v>575</v>
      </c>
      <c r="D6" s="10"/>
      <c r="E6" s="10"/>
      <c r="F6" s="10"/>
      <c r="G6" s="10"/>
      <c r="H6" s="10"/>
      <c r="I6" s="389">
        <f>SUM(E6:H6)</f>
        <v>0</v>
      </c>
    </row>
    <row r="7" spans="1:9" ht="21">
      <c r="A7" s="9"/>
      <c r="B7" s="91" t="s">
        <v>98</v>
      </c>
      <c r="C7" s="88" t="s">
        <v>575</v>
      </c>
      <c r="D7" s="11">
        <f>630760+1154820</f>
        <v>1785580</v>
      </c>
      <c r="E7" s="11">
        <v>613680</v>
      </c>
      <c r="F7" s="11">
        <v>1094140</v>
      </c>
      <c r="G7" s="11"/>
      <c r="H7" s="11"/>
      <c r="I7" s="390">
        <f>SUM(E7:H7)</f>
        <v>1707820</v>
      </c>
    </row>
    <row r="8" spans="1:9" ht="21">
      <c r="A8" s="9" t="s">
        <v>99</v>
      </c>
      <c r="B8" s="92" t="s">
        <v>45</v>
      </c>
      <c r="C8" s="88" t="s">
        <v>575</v>
      </c>
      <c r="D8" s="11">
        <f>168800+10000</f>
        <v>178800</v>
      </c>
      <c r="E8" s="11">
        <v>148730</v>
      </c>
      <c r="F8" s="11">
        <v>6600</v>
      </c>
      <c r="G8" s="11"/>
      <c r="H8" s="11"/>
      <c r="I8" s="390">
        <f aca="true" t="shared" si="0" ref="I8:I16">SUM(E8:H8)</f>
        <v>155330</v>
      </c>
    </row>
    <row r="9" spans="1:9" ht="21">
      <c r="A9" s="9"/>
      <c r="B9" s="16" t="s">
        <v>46</v>
      </c>
      <c r="C9" s="88" t="s">
        <v>575</v>
      </c>
      <c r="D9" s="11">
        <f>344400+635700</f>
        <v>980100</v>
      </c>
      <c r="E9" s="11">
        <v>295790</v>
      </c>
      <c r="F9" s="11">
        <v>608575</v>
      </c>
      <c r="G9" s="11"/>
      <c r="H9" s="11"/>
      <c r="I9" s="390">
        <f t="shared" si="0"/>
        <v>904365</v>
      </c>
    </row>
    <row r="10" spans="1:9" ht="21">
      <c r="A10" s="9"/>
      <c r="B10" s="91" t="s">
        <v>47</v>
      </c>
      <c r="C10" s="88" t="s">
        <v>575</v>
      </c>
      <c r="D10" s="11">
        <f>168000+788720</f>
        <v>956720</v>
      </c>
      <c r="E10" s="11">
        <v>144887</v>
      </c>
      <c r="F10" s="11">
        <v>668617.82</v>
      </c>
      <c r="G10" s="11"/>
      <c r="H10" s="11"/>
      <c r="I10" s="390">
        <f t="shared" si="0"/>
        <v>813504.82</v>
      </c>
    </row>
    <row r="11" spans="1:9" ht="21">
      <c r="A11" s="9"/>
      <c r="B11" s="16" t="s">
        <v>100</v>
      </c>
      <c r="C11" s="88" t="s">
        <v>575</v>
      </c>
      <c r="D11" s="11">
        <v>62000</v>
      </c>
      <c r="E11" s="11">
        <v>44910.84</v>
      </c>
      <c r="F11" s="11"/>
      <c r="G11" s="11"/>
      <c r="H11" s="11"/>
      <c r="I11" s="390">
        <f t="shared" si="0"/>
        <v>44910.84</v>
      </c>
    </row>
    <row r="12" spans="1:9" ht="21">
      <c r="A12" s="9" t="s">
        <v>102</v>
      </c>
      <c r="B12" s="16" t="s">
        <v>101</v>
      </c>
      <c r="C12" s="88" t="s">
        <v>575</v>
      </c>
      <c r="D12" s="11">
        <v>0</v>
      </c>
      <c r="E12" s="11">
        <v>0</v>
      </c>
      <c r="F12" s="11"/>
      <c r="G12" s="11"/>
      <c r="H12" s="11"/>
      <c r="I12" s="390">
        <f t="shared" si="0"/>
        <v>0</v>
      </c>
    </row>
    <row r="13" spans="1:9" ht="21">
      <c r="A13" s="9"/>
      <c r="B13" s="16" t="s">
        <v>50</v>
      </c>
      <c r="C13" s="88" t="s">
        <v>575</v>
      </c>
      <c r="D13" s="11">
        <v>61000</v>
      </c>
      <c r="E13" s="11">
        <v>61000</v>
      </c>
      <c r="F13" s="11"/>
      <c r="G13" s="11"/>
      <c r="H13" s="11"/>
      <c r="I13" s="390">
        <f t="shared" si="0"/>
        <v>61000</v>
      </c>
    </row>
    <row r="14" spans="1:9" ht="21">
      <c r="A14" s="88"/>
      <c r="B14" s="552" t="s">
        <v>50</v>
      </c>
      <c r="C14" s="545" t="s">
        <v>695</v>
      </c>
      <c r="D14" s="546"/>
      <c r="E14" s="546"/>
      <c r="F14" s="546">
        <v>100000</v>
      </c>
      <c r="G14" s="546"/>
      <c r="H14" s="546"/>
      <c r="I14" s="547">
        <f t="shared" si="0"/>
        <v>100000</v>
      </c>
    </row>
    <row r="15" spans="1:9" ht="21">
      <c r="A15" s="9" t="s">
        <v>103</v>
      </c>
      <c r="B15" s="16" t="s">
        <v>48</v>
      </c>
      <c r="C15" s="88" t="s">
        <v>575</v>
      </c>
      <c r="D15" s="11"/>
      <c r="E15" s="11"/>
      <c r="F15" s="11"/>
      <c r="G15" s="11"/>
      <c r="H15" s="11"/>
      <c r="I15" s="390">
        <f t="shared" si="0"/>
        <v>0</v>
      </c>
    </row>
    <row r="16" spans="1:9" ht="21">
      <c r="A16" s="9" t="s">
        <v>104</v>
      </c>
      <c r="B16" s="16" t="s">
        <v>28</v>
      </c>
      <c r="C16" s="88" t="s">
        <v>575</v>
      </c>
      <c r="D16" s="11">
        <v>1040000</v>
      </c>
      <c r="E16" s="11"/>
      <c r="F16" s="11">
        <v>1000000</v>
      </c>
      <c r="G16" s="11"/>
      <c r="H16" s="11"/>
      <c r="I16" s="390">
        <f t="shared" si="0"/>
        <v>1000000</v>
      </c>
    </row>
    <row r="17" spans="1:9" ht="21.75" thickBot="1">
      <c r="A17" s="603" t="s">
        <v>68</v>
      </c>
      <c r="B17" s="603"/>
      <c r="C17" s="603"/>
      <c r="D17" s="82">
        <f aca="true" t="shared" si="1" ref="D17:I17">SUM(D6:D16)</f>
        <v>5064200</v>
      </c>
      <c r="E17" s="82">
        <f t="shared" si="1"/>
        <v>1308997.84</v>
      </c>
      <c r="F17" s="82">
        <f t="shared" si="1"/>
        <v>3477932.82</v>
      </c>
      <c r="G17" s="82">
        <f t="shared" si="1"/>
        <v>0</v>
      </c>
      <c r="H17" s="82">
        <f t="shared" si="1"/>
        <v>0</v>
      </c>
      <c r="I17" s="82">
        <f t="shared" si="1"/>
        <v>4786930.66</v>
      </c>
    </row>
    <row r="18" ht="15" customHeight="1" thickTop="1"/>
    <row r="19" ht="21">
      <c r="A19" s="6" t="s">
        <v>95</v>
      </c>
    </row>
    <row r="22" spans="1:9" ht="21">
      <c r="A22" s="630" t="s">
        <v>338</v>
      </c>
      <c r="B22" s="630"/>
      <c r="C22" s="2"/>
      <c r="D22" s="630" t="s">
        <v>339</v>
      </c>
      <c r="E22" s="630"/>
      <c r="F22" s="630"/>
      <c r="G22" s="590" t="s">
        <v>342</v>
      </c>
      <c r="H22" s="590"/>
      <c r="I22" s="590"/>
    </row>
    <row r="23" spans="1:9" ht="21">
      <c r="A23" s="630" t="s">
        <v>340</v>
      </c>
      <c r="B23" s="630"/>
      <c r="C23" s="2"/>
      <c r="D23" s="630" t="s">
        <v>372</v>
      </c>
      <c r="E23" s="630"/>
      <c r="F23" s="630"/>
      <c r="G23" s="590" t="s">
        <v>705</v>
      </c>
      <c r="H23" s="590"/>
      <c r="I23" s="590"/>
    </row>
  </sheetData>
  <sheetProtection/>
  <mergeCells count="10">
    <mergeCell ref="A17:C17"/>
    <mergeCell ref="A1:I1"/>
    <mergeCell ref="A2:I2"/>
    <mergeCell ref="A3:I3"/>
    <mergeCell ref="A22:B22"/>
    <mergeCell ref="A23:B23"/>
    <mergeCell ref="D22:F22"/>
    <mergeCell ref="D23:F23"/>
    <mergeCell ref="G22:I22"/>
    <mergeCell ref="G23:I23"/>
  </mergeCells>
  <printOptions/>
  <pageMargins left="0.5118110236220472" right="0.31496062992125984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22"/>
  <sheetViews>
    <sheetView view="pageBreakPreview" zoomScale="90" zoomScaleSheetLayoutView="90" zoomScalePageLayoutView="0" workbookViewId="0" topLeftCell="A1">
      <selection activeCell="D8" sqref="D8"/>
    </sheetView>
  </sheetViews>
  <sheetFormatPr defaultColWidth="9.140625" defaultRowHeight="15"/>
  <cols>
    <col min="1" max="1" width="15.7109375" style="3" customWidth="1"/>
    <col min="2" max="2" width="20.140625" style="3" customWidth="1"/>
    <col min="3" max="3" width="12.57421875" style="3" customWidth="1"/>
    <col min="4" max="4" width="14.28125" style="3" customWidth="1"/>
    <col min="5" max="5" width="16.57421875" style="3" customWidth="1"/>
    <col min="6" max="6" width="11.7109375" style="3" customWidth="1"/>
    <col min="7" max="7" width="13.7109375" style="3" customWidth="1"/>
    <col min="8" max="8" width="12.8515625" style="3" customWidth="1"/>
    <col min="9" max="9" width="14.421875" style="3" customWidth="1"/>
    <col min="10" max="16384" width="9.00390625" style="3" customWidth="1"/>
  </cols>
  <sheetData>
    <row r="1" spans="1:9" ht="21">
      <c r="A1" s="604" t="str">
        <f>+งบแสดงฐานะการเงิน!A1</f>
        <v>องค์การบริหารส่วนตำบลโพนทอง</v>
      </c>
      <c r="B1" s="604"/>
      <c r="C1" s="604"/>
      <c r="D1" s="604"/>
      <c r="E1" s="604"/>
      <c r="F1" s="604"/>
      <c r="G1" s="604"/>
      <c r="H1" s="604"/>
      <c r="I1" s="604"/>
    </row>
    <row r="2" spans="1:9" ht="21">
      <c r="A2" s="604" t="s">
        <v>118</v>
      </c>
      <c r="B2" s="604"/>
      <c r="C2" s="604"/>
      <c r="D2" s="604"/>
      <c r="E2" s="604"/>
      <c r="F2" s="604"/>
      <c r="G2" s="604"/>
      <c r="H2" s="604"/>
      <c r="I2" s="604"/>
    </row>
    <row r="3" spans="1:9" ht="21">
      <c r="A3" s="604" t="str">
        <f>+'ตามแผนงาน 1'!A3:F3</f>
        <v>ตั้งแต่วันที่  1  ตุลาคม 2560  ถึง  30 กันยายน 2561</v>
      </c>
      <c r="B3" s="604"/>
      <c r="C3" s="604"/>
      <c r="D3" s="604"/>
      <c r="E3" s="604"/>
      <c r="F3" s="604"/>
      <c r="G3" s="604"/>
      <c r="H3" s="604"/>
      <c r="I3" s="604"/>
    </row>
    <row r="4" ht="4.5" customHeight="1"/>
    <row r="5" spans="1:9" s="7" customFormat="1" ht="84.75" customHeight="1">
      <c r="A5" s="13" t="s">
        <v>94</v>
      </c>
      <c r="B5" s="13" t="s">
        <v>79</v>
      </c>
      <c r="C5" s="13" t="s">
        <v>76</v>
      </c>
      <c r="D5" s="14" t="s">
        <v>29</v>
      </c>
      <c r="E5" s="18" t="s">
        <v>119</v>
      </c>
      <c r="F5" s="17" t="s">
        <v>120</v>
      </c>
      <c r="G5" s="17" t="s">
        <v>121</v>
      </c>
      <c r="H5" s="14" t="s">
        <v>122</v>
      </c>
      <c r="I5" s="68" t="s">
        <v>68</v>
      </c>
    </row>
    <row r="6" spans="1:9" ht="21.75" customHeight="1">
      <c r="A6" s="8" t="s">
        <v>96</v>
      </c>
      <c r="B6" s="8" t="s">
        <v>97</v>
      </c>
      <c r="C6" s="174" t="s">
        <v>575</v>
      </c>
      <c r="D6" s="10"/>
      <c r="E6" s="10"/>
      <c r="F6" s="10"/>
      <c r="G6" s="10"/>
      <c r="H6" s="88"/>
      <c r="I6" s="506">
        <f>SUM(E6:H6)</f>
        <v>0</v>
      </c>
    </row>
    <row r="7" spans="1:9" ht="21.75" customHeight="1">
      <c r="A7" s="88"/>
      <c r="B7" s="88" t="s">
        <v>98</v>
      </c>
      <c r="C7" s="88" t="s">
        <v>575</v>
      </c>
      <c r="D7" s="11">
        <v>725880</v>
      </c>
      <c r="E7" s="11">
        <v>711000</v>
      </c>
      <c r="F7" s="11"/>
      <c r="G7" s="11"/>
      <c r="H7" s="88"/>
      <c r="I7" s="506">
        <f>SUM(E7:H7)</f>
        <v>711000</v>
      </c>
    </row>
    <row r="8" spans="1:9" ht="21.75" customHeight="1">
      <c r="A8" s="9" t="s">
        <v>99</v>
      </c>
      <c r="B8" s="16" t="s">
        <v>45</v>
      </c>
      <c r="C8" s="88" t="s">
        <v>575</v>
      </c>
      <c r="D8" s="11">
        <v>67000</v>
      </c>
      <c r="E8" s="11">
        <v>60460</v>
      </c>
      <c r="F8" s="11"/>
      <c r="G8" s="11"/>
      <c r="H8" s="11"/>
      <c r="I8" s="506">
        <f aca="true" t="shared" si="0" ref="I8:I16">SUM(E8:H8)</f>
        <v>60460</v>
      </c>
    </row>
    <row r="9" spans="1:9" ht="21.75" customHeight="1">
      <c r="A9" s="9"/>
      <c r="B9" s="16" t="s">
        <v>46</v>
      </c>
      <c r="C9" s="88" t="s">
        <v>575</v>
      </c>
      <c r="D9" s="11">
        <f>50000+195000</f>
        <v>245000</v>
      </c>
      <c r="E9" s="11">
        <v>9320</v>
      </c>
      <c r="F9" s="11"/>
      <c r="G9" s="11">
        <v>179865</v>
      </c>
      <c r="H9" s="11"/>
      <c r="I9" s="506">
        <f t="shared" si="0"/>
        <v>189185</v>
      </c>
    </row>
    <row r="10" spans="1:9" ht="21.75" customHeight="1">
      <c r="A10" s="9"/>
      <c r="B10" s="16" t="s">
        <v>47</v>
      </c>
      <c r="C10" s="88" t="s">
        <v>575</v>
      </c>
      <c r="D10" s="11">
        <f>30000+20000</f>
        <v>50000</v>
      </c>
      <c r="E10" s="11">
        <v>18630</v>
      </c>
      <c r="F10" s="11"/>
      <c r="G10" s="11"/>
      <c r="H10" s="11"/>
      <c r="I10" s="506">
        <f t="shared" si="0"/>
        <v>18630</v>
      </c>
    </row>
    <row r="11" spans="1:9" ht="21.75" customHeight="1">
      <c r="A11" s="9"/>
      <c r="B11" s="16" t="s">
        <v>100</v>
      </c>
      <c r="C11" s="88" t="s">
        <v>575</v>
      </c>
      <c r="D11" s="11"/>
      <c r="E11" s="11"/>
      <c r="F11" s="11"/>
      <c r="G11" s="11"/>
      <c r="H11" s="11"/>
      <c r="I11" s="506">
        <f t="shared" si="0"/>
        <v>0</v>
      </c>
    </row>
    <row r="12" spans="1:9" ht="21.75" customHeight="1">
      <c r="A12" s="9" t="s">
        <v>102</v>
      </c>
      <c r="B12" s="16" t="s">
        <v>101</v>
      </c>
      <c r="C12" s="88" t="s">
        <v>575</v>
      </c>
      <c r="D12" s="11"/>
      <c r="E12" s="11"/>
      <c r="F12" s="11"/>
      <c r="G12" s="11"/>
      <c r="H12" s="11"/>
      <c r="I12" s="506">
        <f t="shared" si="0"/>
        <v>0</v>
      </c>
    </row>
    <row r="13" spans="1:9" ht="21.75" customHeight="1">
      <c r="A13" s="9"/>
      <c r="B13" s="16" t="s">
        <v>50</v>
      </c>
      <c r="C13" s="88" t="s">
        <v>575</v>
      </c>
      <c r="D13" s="11"/>
      <c r="E13" s="11"/>
      <c r="F13" s="11"/>
      <c r="G13" s="11"/>
      <c r="H13" s="11"/>
      <c r="I13" s="506">
        <f t="shared" si="0"/>
        <v>0</v>
      </c>
    </row>
    <row r="14" spans="1:9" ht="21.75" customHeight="1">
      <c r="A14" s="88"/>
      <c r="B14" s="91" t="s">
        <v>50</v>
      </c>
      <c r="C14" s="88" t="s">
        <v>695</v>
      </c>
      <c r="D14" s="11"/>
      <c r="E14" s="11"/>
      <c r="F14" s="11"/>
      <c r="G14" s="11"/>
      <c r="H14" s="11"/>
      <c r="I14" s="506">
        <f t="shared" si="0"/>
        <v>0</v>
      </c>
    </row>
    <row r="15" spans="1:9" ht="21.75" customHeight="1">
      <c r="A15" s="9" t="s">
        <v>103</v>
      </c>
      <c r="B15" s="16" t="s">
        <v>48</v>
      </c>
      <c r="C15" s="88" t="s">
        <v>575</v>
      </c>
      <c r="D15" s="11"/>
      <c r="E15" s="11"/>
      <c r="F15" s="11"/>
      <c r="G15" s="11"/>
      <c r="H15" s="11"/>
      <c r="I15" s="506">
        <f t="shared" si="0"/>
        <v>0</v>
      </c>
    </row>
    <row r="16" spans="1:9" ht="21.75" customHeight="1">
      <c r="A16" s="9" t="s">
        <v>104</v>
      </c>
      <c r="B16" s="16" t="s">
        <v>28</v>
      </c>
      <c r="C16" s="88" t="s">
        <v>575</v>
      </c>
      <c r="D16" s="11">
        <v>98000</v>
      </c>
      <c r="E16" s="11">
        <v>0</v>
      </c>
      <c r="F16" s="11"/>
      <c r="G16" s="11">
        <v>98000</v>
      </c>
      <c r="H16" s="11"/>
      <c r="I16" s="506">
        <f t="shared" si="0"/>
        <v>98000</v>
      </c>
    </row>
    <row r="17" spans="1:9" ht="21.75" thickBot="1">
      <c r="A17" s="603" t="s">
        <v>68</v>
      </c>
      <c r="B17" s="603"/>
      <c r="C17" s="603"/>
      <c r="D17" s="82">
        <f aca="true" t="shared" si="1" ref="D17:I17">SUM(D6:D16)</f>
        <v>1185880</v>
      </c>
      <c r="E17" s="82">
        <f t="shared" si="1"/>
        <v>799410</v>
      </c>
      <c r="F17" s="82">
        <f t="shared" si="1"/>
        <v>0</v>
      </c>
      <c r="G17" s="82">
        <f t="shared" si="1"/>
        <v>277865</v>
      </c>
      <c r="H17" s="82">
        <f t="shared" si="1"/>
        <v>0</v>
      </c>
      <c r="I17" s="82">
        <f t="shared" si="1"/>
        <v>1077275</v>
      </c>
    </row>
    <row r="18" ht="9" customHeight="1" thickTop="1"/>
    <row r="19" ht="21">
      <c r="A19" s="6" t="s">
        <v>95</v>
      </c>
    </row>
    <row r="20" ht="21" customHeight="1"/>
    <row r="21" spans="1:9" ht="21">
      <c r="A21" s="630" t="s">
        <v>338</v>
      </c>
      <c r="B21" s="630"/>
      <c r="C21" s="2"/>
      <c r="D21" s="630" t="s">
        <v>339</v>
      </c>
      <c r="E21" s="630"/>
      <c r="F21" s="630"/>
      <c r="G21" s="590" t="s">
        <v>342</v>
      </c>
      <c r="H21" s="590"/>
      <c r="I21" s="590"/>
    </row>
    <row r="22" spans="1:9" ht="21">
      <c r="A22" s="630" t="s">
        <v>340</v>
      </c>
      <c r="B22" s="630"/>
      <c r="C22" s="2"/>
      <c r="D22" s="630" t="s">
        <v>372</v>
      </c>
      <c r="E22" s="630"/>
      <c r="F22" s="630"/>
      <c r="G22" s="590" t="s">
        <v>705</v>
      </c>
      <c r="H22" s="590"/>
      <c r="I22" s="590"/>
    </row>
  </sheetData>
  <sheetProtection/>
  <mergeCells count="10">
    <mergeCell ref="A1:I1"/>
    <mergeCell ref="A2:I2"/>
    <mergeCell ref="A3:I3"/>
    <mergeCell ref="A17:C17"/>
    <mergeCell ref="A21:B21"/>
    <mergeCell ref="A22:B22"/>
    <mergeCell ref="D21:F21"/>
    <mergeCell ref="D22:F22"/>
    <mergeCell ref="G21:I21"/>
    <mergeCell ref="G22:I22"/>
  </mergeCells>
  <printOptions/>
  <pageMargins left="0.31496062992125984" right="0.31496062992125984" top="0.7480314960629921" bottom="0" header="0.31496062992125984" footer="0.3149606299212598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="90" zoomScaleSheetLayoutView="90" zoomScalePageLayoutView="0" workbookViewId="0" topLeftCell="A1">
      <selection activeCell="F22" sqref="F22:G23"/>
    </sheetView>
  </sheetViews>
  <sheetFormatPr defaultColWidth="9.140625" defaultRowHeight="15"/>
  <cols>
    <col min="1" max="1" width="15.7109375" style="3" customWidth="1"/>
    <col min="2" max="2" width="20.140625" style="3" customWidth="1"/>
    <col min="3" max="3" width="12.57421875" style="3" customWidth="1"/>
    <col min="4" max="4" width="14.421875" style="3" customWidth="1"/>
    <col min="5" max="5" width="27.00390625" style="3" customWidth="1"/>
    <col min="6" max="6" width="18.57421875" style="3" customWidth="1"/>
    <col min="7" max="7" width="16.8515625" style="3" customWidth="1"/>
    <col min="8" max="16384" width="9.00390625" style="3" customWidth="1"/>
  </cols>
  <sheetData>
    <row r="1" spans="1:7" ht="21">
      <c r="A1" s="604" t="str">
        <f>+งบแสดงฐานะการเงิน!A1</f>
        <v>องค์การบริหารส่วนตำบลโพนทอง</v>
      </c>
      <c r="B1" s="604"/>
      <c r="C1" s="604"/>
      <c r="D1" s="604"/>
      <c r="E1" s="604"/>
      <c r="F1" s="604"/>
      <c r="G1" s="604"/>
    </row>
    <row r="2" spans="1:7" ht="21">
      <c r="A2" s="604" t="s">
        <v>123</v>
      </c>
      <c r="B2" s="604"/>
      <c r="C2" s="604"/>
      <c r="D2" s="604"/>
      <c r="E2" s="604"/>
      <c r="F2" s="604"/>
      <c r="G2" s="604"/>
    </row>
    <row r="3" spans="1:7" ht="21">
      <c r="A3" s="604" t="str">
        <f>+'ตามแผนงาน 1'!A3:F3</f>
        <v>ตั้งแต่วันที่  1  ตุลาคม 2560  ถึง  30 กันยายน 2561</v>
      </c>
      <c r="B3" s="604"/>
      <c r="C3" s="604"/>
      <c r="D3" s="604"/>
      <c r="E3" s="604"/>
      <c r="F3" s="604"/>
      <c r="G3" s="604"/>
    </row>
    <row r="5" spans="1:7" s="7" customFormat="1" ht="42">
      <c r="A5" s="13" t="s">
        <v>94</v>
      </c>
      <c r="B5" s="13" t="s">
        <v>79</v>
      </c>
      <c r="C5" s="13" t="s">
        <v>76</v>
      </c>
      <c r="D5" s="14" t="s">
        <v>29</v>
      </c>
      <c r="E5" s="18" t="s">
        <v>124</v>
      </c>
      <c r="F5" s="17" t="s">
        <v>125</v>
      </c>
      <c r="G5" s="13" t="s">
        <v>68</v>
      </c>
    </row>
    <row r="6" spans="1:7" ht="21">
      <c r="A6" s="8" t="s">
        <v>96</v>
      </c>
      <c r="B6" s="8" t="s">
        <v>97</v>
      </c>
      <c r="C6" s="174" t="s">
        <v>575</v>
      </c>
      <c r="D6" s="10"/>
      <c r="E6" s="10"/>
      <c r="F6" s="10"/>
      <c r="G6" s="10">
        <f>SUM(E6:F6)</f>
        <v>0</v>
      </c>
    </row>
    <row r="7" spans="1:7" ht="21">
      <c r="A7" s="9"/>
      <c r="B7" s="9" t="s">
        <v>98</v>
      </c>
      <c r="C7" s="88" t="s">
        <v>575</v>
      </c>
      <c r="D7" s="11">
        <v>494160</v>
      </c>
      <c r="E7" s="11">
        <v>483120</v>
      </c>
      <c r="F7" s="11"/>
      <c r="G7" s="390">
        <f>SUM(E7:F7)</f>
        <v>483120</v>
      </c>
    </row>
    <row r="8" spans="1:7" ht="21">
      <c r="A8" s="9" t="s">
        <v>99</v>
      </c>
      <c r="B8" s="16" t="s">
        <v>45</v>
      </c>
      <c r="C8" s="88" t="s">
        <v>575</v>
      </c>
      <c r="D8" s="11">
        <v>43000</v>
      </c>
      <c r="E8" s="11">
        <v>42040</v>
      </c>
      <c r="F8" s="11"/>
      <c r="G8" s="390">
        <f aca="true" t="shared" si="0" ref="G8:G16">SUM(E8:F8)</f>
        <v>42040</v>
      </c>
    </row>
    <row r="9" spans="1:7" ht="21">
      <c r="A9" s="9"/>
      <c r="B9" s="16" t="s">
        <v>46</v>
      </c>
      <c r="C9" s="88" t="s">
        <v>575</v>
      </c>
      <c r="D9" s="11">
        <v>50000</v>
      </c>
      <c r="E9" s="11">
        <v>24264</v>
      </c>
      <c r="F9" s="11"/>
      <c r="G9" s="390">
        <f t="shared" si="0"/>
        <v>24264</v>
      </c>
    </row>
    <row r="10" spans="1:7" ht="21">
      <c r="A10" s="9"/>
      <c r="B10" s="16" t="s">
        <v>47</v>
      </c>
      <c r="C10" s="88" t="s">
        <v>575</v>
      </c>
      <c r="D10" s="11">
        <v>10000</v>
      </c>
      <c r="E10" s="11">
        <v>9116</v>
      </c>
      <c r="F10" s="11"/>
      <c r="G10" s="390">
        <f t="shared" si="0"/>
        <v>9116</v>
      </c>
    </row>
    <row r="11" spans="1:7" ht="21">
      <c r="A11" s="9"/>
      <c r="B11" s="16" t="s">
        <v>100</v>
      </c>
      <c r="C11" s="88" t="s">
        <v>575</v>
      </c>
      <c r="D11" s="11">
        <v>0</v>
      </c>
      <c r="E11" s="11"/>
      <c r="F11" s="11"/>
      <c r="G11" s="390">
        <f t="shared" si="0"/>
        <v>0</v>
      </c>
    </row>
    <row r="12" spans="1:7" ht="21">
      <c r="A12" s="9" t="s">
        <v>102</v>
      </c>
      <c r="B12" s="16" t="s">
        <v>101</v>
      </c>
      <c r="C12" s="88" t="s">
        <v>575</v>
      </c>
      <c r="D12" s="11">
        <v>1500</v>
      </c>
      <c r="E12" s="11"/>
      <c r="F12" s="11"/>
      <c r="G12" s="390">
        <f t="shared" si="0"/>
        <v>0</v>
      </c>
    </row>
    <row r="13" spans="1:7" ht="21">
      <c r="A13" s="9"/>
      <c r="B13" s="16" t="s">
        <v>50</v>
      </c>
      <c r="C13" s="88" t="s">
        <v>575</v>
      </c>
      <c r="D13" s="11">
        <v>0</v>
      </c>
      <c r="E13" s="11"/>
      <c r="F13" s="11"/>
      <c r="G13" s="390">
        <f t="shared" si="0"/>
        <v>0</v>
      </c>
    </row>
    <row r="14" spans="1:7" ht="21">
      <c r="A14" s="88"/>
      <c r="B14" s="91" t="s">
        <v>50</v>
      </c>
      <c r="C14" s="88" t="s">
        <v>695</v>
      </c>
      <c r="D14" s="11"/>
      <c r="E14" s="11"/>
      <c r="F14" s="11"/>
      <c r="G14" s="390">
        <f t="shared" si="0"/>
        <v>0</v>
      </c>
    </row>
    <row r="15" spans="1:7" ht="21">
      <c r="A15" s="9" t="s">
        <v>103</v>
      </c>
      <c r="B15" s="16" t="s">
        <v>48</v>
      </c>
      <c r="C15" s="88" t="s">
        <v>575</v>
      </c>
      <c r="D15" s="11">
        <v>0</v>
      </c>
      <c r="E15" s="11"/>
      <c r="F15" s="11"/>
      <c r="G15" s="390">
        <f t="shared" si="0"/>
        <v>0</v>
      </c>
    </row>
    <row r="16" spans="1:7" ht="21">
      <c r="A16" s="9" t="s">
        <v>104</v>
      </c>
      <c r="B16" s="16" t="s">
        <v>28</v>
      </c>
      <c r="C16" s="88" t="s">
        <v>575</v>
      </c>
      <c r="D16" s="11">
        <v>0</v>
      </c>
      <c r="E16" s="11"/>
      <c r="F16" s="11"/>
      <c r="G16" s="390">
        <f t="shared" si="0"/>
        <v>0</v>
      </c>
    </row>
    <row r="17" spans="1:7" ht="21.75" thickBot="1">
      <c r="A17" s="603" t="s">
        <v>68</v>
      </c>
      <c r="B17" s="603"/>
      <c r="C17" s="603"/>
      <c r="D17" s="82">
        <f>SUM(D6:D16)</f>
        <v>598660</v>
      </c>
      <c r="E17" s="82">
        <f>SUM(E6:E16)</f>
        <v>558540</v>
      </c>
      <c r="F17" s="82">
        <f>SUM(F6:F16)</f>
        <v>0</v>
      </c>
      <c r="G17" s="82">
        <f>SUM(G6:G16)</f>
        <v>558540</v>
      </c>
    </row>
    <row r="18" ht="21.75" thickTop="1"/>
    <row r="19" ht="21">
      <c r="A19" s="6" t="s">
        <v>95</v>
      </c>
    </row>
    <row r="22" spans="1:8" ht="21">
      <c r="A22" s="630" t="s">
        <v>338</v>
      </c>
      <c r="B22" s="630"/>
      <c r="C22" s="630" t="s">
        <v>339</v>
      </c>
      <c r="D22" s="630"/>
      <c r="E22" s="630"/>
      <c r="F22" s="590" t="s">
        <v>342</v>
      </c>
      <c r="G22" s="590"/>
      <c r="H22" s="75"/>
    </row>
    <row r="23" spans="1:8" ht="21">
      <c r="A23" s="630" t="s">
        <v>340</v>
      </c>
      <c r="B23" s="630"/>
      <c r="C23" s="630" t="s">
        <v>372</v>
      </c>
      <c r="D23" s="630"/>
      <c r="E23" s="630"/>
      <c r="F23" s="590" t="s">
        <v>705</v>
      </c>
      <c r="G23" s="590"/>
      <c r="H23" s="75"/>
    </row>
  </sheetData>
  <sheetProtection/>
  <mergeCells count="10">
    <mergeCell ref="C23:E23"/>
    <mergeCell ref="F22:G22"/>
    <mergeCell ref="F23:G23"/>
    <mergeCell ref="A1:G1"/>
    <mergeCell ref="A2:G2"/>
    <mergeCell ref="A3:G3"/>
    <mergeCell ref="A17:C17"/>
    <mergeCell ref="A22:B22"/>
    <mergeCell ref="A23:B23"/>
    <mergeCell ref="C22:E22"/>
  </mergeCells>
  <printOptions/>
  <pageMargins left="0.31496062992125984" right="0.31496062992125984" top="0.35433070866141736" bottom="0" header="0.31496062992125984" footer="0.3149606299212598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="80" zoomScaleSheetLayoutView="80" zoomScalePageLayoutView="0" workbookViewId="0" topLeftCell="A1">
      <selection activeCell="H22" sqref="H22:J23"/>
    </sheetView>
  </sheetViews>
  <sheetFormatPr defaultColWidth="9.140625" defaultRowHeight="15"/>
  <cols>
    <col min="1" max="1" width="15.7109375" style="3" customWidth="1"/>
    <col min="2" max="2" width="20.140625" style="3" customWidth="1"/>
    <col min="3" max="3" width="14.140625" style="3" customWidth="1"/>
    <col min="4" max="4" width="15.421875" style="3" customWidth="1"/>
    <col min="5" max="5" width="14.57421875" style="3" customWidth="1"/>
    <col min="6" max="6" width="14.28125" style="3" customWidth="1"/>
    <col min="7" max="7" width="12.421875" style="3" customWidth="1"/>
    <col min="8" max="8" width="13.140625" style="3" customWidth="1"/>
    <col min="9" max="9" width="12.421875" style="3" customWidth="1"/>
    <col min="10" max="10" width="14.421875" style="3" customWidth="1"/>
    <col min="11" max="16384" width="9.00390625" style="3" customWidth="1"/>
  </cols>
  <sheetData>
    <row r="1" spans="1:10" ht="21">
      <c r="A1" s="604" t="str">
        <f>+งบแสดงฐานะการเงิน!A1</f>
        <v>องค์การบริหารส่วนตำบลโพนทอง</v>
      </c>
      <c r="B1" s="604"/>
      <c r="C1" s="604"/>
      <c r="D1" s="604"/>
      <c r="E1" s="604"/>
      <c r="F1" s="604"/>
      <c r="G1" s="604"/>
      <c r="H1" s="604"/>
      <c r="I1" s="604"/>
      <c r="J1" s="604"/>
    </row>
    <row r="2" spans="1:10" ht="21">
      <c r="A2" s="604" t="s">
        <v>126</v>
      </c>
      <c r="B2" s="604"/>
      <c r="C2" s="604"/>
      <c r="D2" s="604"/>
      <c r="E2" s="604"/>
      <c r="F2" s="604"/>
      <c r="G2" s="604"/>
      <c r="H2" s="604"/>
      <c r="I2" s="604"/>
      <c r="J2" s="604"/>
    </row>
    <row r="3" spans="1:10" ht="21">
      <c r="A3" s="604" t="str">
        <f>+'ตามแผนงาน 1'!A3:F3</f>
        <v>ตั้งแต่วันที่  1  ตุลาคม 2560  ถึง  30 กันยายน 2561</v>
      </c>
      <c r="B3" s="604"/>
      <c r="C3" s="604"/>
      <c r="D3" s="604"/>
      <c r="E3" s="604"/>
      <c r="F3" s="604"/>
      <c r="G3" s="604"/>
      <c r="H3" s="604"/>
      <c r="I3" s="604"/>
      <c r="J3" s="604"/>
    </row>
    <row r="4" ht="15.75" customHeight="1"/>
    <row r="5" spans="1:10" s="7" customFormat="1" ht="63">
      <c r="A5" s="13" t="s">
        <v>94</v>
      </c>
      <c r="B5" s="13" t="s">
        <v>79</v>
      </c>
      <c r="C5" s="53" t="s">
        <v>76</v>
      </c>
      <c r="D5" s="14" t="s">
        <v>29</v>
      </c>
      <c r="E5" s="18" t="s">
        <v>127</v>
      </c>
      <c r="F5" s="18" t="s">
        <v>128</v>
      </c>
      <c r="G5" s="18" t="s">
        <v>129</v>
      </c>
      <c r="H5" s="17" t="s">
        <v>130</v>
      </c>
      <c r="I5" s="17" t="s">
        <v>131</v>
      </c>
      <c r="J5" s="13" t="s">
        <v>68</v>
      </c>
    </row>
    <row r="6" spans="1:10" ht="21">
      <c r="A6" s="8" t="s">
        <v>96</v>
      </c>
      <c r="B6" s="8" t="s">
        <v>97</v>
      </c>
      <c r="C6" s="88" t="s">
        <v>575</v>
      </c>
      <c r="D6" s="10"/>
      <c r="E6" s="10"/>
      <c r="F6" s="10"/>
      <c r="G6" s="10"/>
      <c r="H6" s="10"/>
      <c r="I6" s="10"/>
      <c r="J6" s="389">
        <f>SUM(E6:I6)</f>
        <v>0</v>
      </c>
    </row>
    <row r="7" spans="1:10" ht="21">
      <c r="A7" s="9"/>
      <c r="B7" s="9" t="s">
        <v>98</v>
      </c>
      <c r="C7" s="88" t="s">
        <v>575</v>
      </c>
      <c r="D7" s="11">
        <v>650320</v>
      </c>
      <c r="E7" s="11">
        <v>632180</v>
      </c>
      <c r="F7" s="11"/>
      <c r="G7" s="11"/>
      <c r="H7" s="11"/>
      <c r="I7" s="11"/>
      <c r="J7" s="390">
        <f>SUM(E7:I7)</f>
        <v>632180</v>
      </c>
    </row>
    <row r="8" spans="1:10" ht="21">
      <c r="A8" s="9" t="s">
        <v>99</v>
      </c>
      <c r="B8" s="16" t="s">
        <v>45</v>
      </c>
      <c r="C8" s="88" t="s">
        <v>575</v>
      </c>
      <c r="D8" s="11">
        <v>65000</v>
      </c>
      <c r="E8" s="11">
        <v>60100</v>
      </c>
      <c r="F8" s="11"/>
      <c r="G8" s="11"/>
      <c r="H8" s="11"/>
      <c r="I8" s="11"/>
      <c r="J8" s="390">
        <f aca="true" t="shared" si="0" ref="J8:J16">SUM(E8:I8)</f>
        <v>60100</v>
      </c>
    </row>
    <row r="9" spans="1:10" ht="21">
      <c r="A9" s="9"/>
      <c r="B9" s="16" t="s">
        <v>46</v>
      </c>
      <c r="C9" s="88" t="s">
        <v>575</v>
      </c>
      <c r="D9" s="11">
        <f>870000+40000</f>
        <v>910000</v>
      </c>
      <c r="E9" s="11">
        <v>736059.71</v>
      </c>
      <c r="F9" s="11"/>
      <c r="G9" s="11"/>
      <c r="H9" s="11">
        <v>29980</v>
      </c>
      <c r="I9" s="11"/>
      <c r="J9" s="390">
        <f t="shared" si="0"/>
        <v>766039.71</v>
      </c>
    </row>
    <row r="10" spans="1:10" ht="21">
      <c r="A10" s="9"/>
      <c r="B10" s="16" t="s">
        <v>47</v>
      </c>
      <c r="C10" s="88" t="s">
        <v>575</v>
      </c>
      <c r="D10" s="11">
        <v>160000</v>
      </c>
      <c r="E10" s="11">
        <v>104675.6</v>
      </c>
      <c r="F10" s="11"/>
      <c r="G10" s="11"/>
      <c r="H10" s="11"/>
      <c r="I10" s="11"/>
      <c r="J10" s="390">
        <f t="shared" si="0"/>
        <v>104675.6</v>
      </c>
    </row>
    <row r="11" spans="1:10" ht="21">
      <c r="A11" s="9"/>
      <c r="B11" s="16" t="s">
        <v>100</v>
      </c>
      <c r="C11" s="88" t="s">
        <v>575</v>
      </c>
      <c r="D11" s="11">
        <v>0</v>
      </c>
      <c r="E11" s="11"/>
      <c r="F11" s="11"/>
      <c r="G11" s="11"/>
      <c r="H11" s="11"/>
      <c r="I11" s="11"/>
      <c r="J11" s="390">
        <f t="shared" si="0"/>
        <v>0</v>
      </c>
    </row>
    <row r="12" spans="1:10" ht="21">
      <c r="A12" s="9" t="s">
        <v>102</v>
      </c>
      <c r="B12" s="16" t="s">
        <v>101</v>
      </c>
      <c r="C12" s="88" t="s">
        <v>575</v>
      </c>
      <c r="D12" s="11">
        <v>8000</v>
      </c>
      <c r="E12" s="11">
        <v>8000</v>
      </c>
      <c r="F12" s="11"/>
      <c r="G12" s="11"/>
      <c r="H12" s="11"/>
      <c r="I12" s="11"/>
      <c r="J12" s="390">
        <f t="shared" si="0"/>
        <v>8000</v>
      </c>
    </row>
    <row r="13" spans="1:10" ht="21">
      <c r="A13" s="9"/>
      <c r="B13" s="16" t="s">
        <v>50</v>
      </c>
      <c r="C13" s="88" t="s">
        <v>575</v>
      </c>
      <c r="D13" s="11">
        <v>2363486</v>
      </c>
      <c r="E13" s="11"/>
      <c r="F13" s="11">
        <v>2352000</v>
      </c>
      <c r="G13" s="11"/>
      <c r="H13" s="11"/>
      <c r="I13" s="11"/>
      <c r="J13" s="390">
        <f t="shared" si="0"/>
        <v>2352000</v>
      </c>
    </row>
    <row r="14" spans="1:10" ht="21">
      <c r="A14" s="88"/>
      <c r="B14" s="544" t="s">
        <v>526</v>
      </c>
      <c r="C14" s="545"/>
      <c r="D14" s="546"/>
      <c r="E14" s="546"/>
      <c r="F14" s="546">
        <v>3546763.24</v>
      </c>
      <c r="G14" s="546"/>
      <c r="H14" s="546"/>
      <c r="I14" s="546"/>
      <c r="J14" s="547">
        <f t="shared" si="0"/>
        <v>3546763.24</v>
      </c>
    </row>
    <row r="15" spans="1:10" ht="21">
      <c r="A15" s="9" t="s">
        <v>103</v>
      </c>
      <c r="B15" s="16" t="s">
        <v>48</v>
      </c>
      <c r="C15" s="88" t="s">
        <v>575</v>
      </c>
      <c r="D15" s="11"/>
      <c r="E15" s="11"/>
      <c r="F15" s="11"/>
      <c r="G15" s="11"/>
      <c r="H15" s="11"/>
      <c r="I15" s="11"/>
      <c r="J15" s="390">
        <f t="shared" si="0"/>
        <v>0</v>
      </c>
    </row>
    <row r="16" spans="1:10" ht="21">
      <c r="A16" s="9" t="s">
        <v>104</v>
      </c>
      <c r="B16" s="16" t="s">
        <v>28</v>
      </c>
      <c r="C16" s="88" t="s">
        <v>575</v>
      </c>
      <c r="D16" s="11">
        <v>29514</v>
      </c>
      <c r="E16" s="11"/>
      <c r="F16" s="11">
        <f>410513.81-381000</f>
        <v>29513.809999999998</v>
      </c>
      <c r="G16" s="11"/>
      <c r="H16" s="11"/>
      <c r="I16" s="11"/>
      <c r="J16" s="390">
        <f t="shared" si="0"/>
        <v>29513.809999999998</v>
      </c>
    </row>
    <row r="17" spans="1:10" ht="21.75" thickBot="1">
      <c r="A17" s="603" t="s">
        <v>68</v>
      </c>
      <c r="B17" s="603"/>
      <c r="C17" s="603"/>
      <c r="D17" s="82">
        <f aca="true" t="shared" si="1" ref="D17:I17">SUM(D6:D16)</f>
        <v>4186320</v>
      </c>
      <c r="E17" s="82">
        <f t="shared" si="1"/>
        <v>1541015.31</v>
      </c>
      <c r="F17" s="82">
        <f t="shared" si="1"/>
        <v>5928277.05</v>
      </c>
      <c r="G17" s="82">
        <f t="shared" si="1"/>
        <v>0</v>
      </c>
      <c r="H17" s="82">
        <f t="shared" si="1"/>
        <v>29980</v>
      </c>
      <c r="I17" s="82">
        <f t="shared" si="1"/>
        <v>0</v>
      </c>
      <c r="J17" s="82">
        <f>SUM(J6:J16)</f>
        <v>7499272.36</v>
      </c>
    </row>
    <row r="18" ht="15.75" customHeight="1" thickTop="1"/>
    <row r="19" ht="21">
      <c r="A19" s="6" t="s">
        <v>95</v>
      </c>
    </row>
    <row r="22" spans="1:10" ht="21">
      <c r="A22" s="630" t="s">
        <v>338</v>
      </c>
      <c r="B22" s="630"/>
      <c r="C22" s="2"/>
      <c r="D22" s="630" t="s">
        <v>339</v>
      </c>
      <c r="E22" s="630"/>
      <c r="F22" s="630"/>
      <c r="H22" s="590" t="s">
        <v>342</v>
      </c>
      <c r="I22" s="590"/>
      <c r="J22" s="590"/>
    </row>
    <row r="23" spans="1:10" ht="21">
      <c r="A23" s="630" t="s">
        <v>340</v>
      </c>
      <c r="B23" s="630"/>
      <c r="C23" s="2"/>
      <c r="D23" s="630" t="s">
        <v>372</v>
      </c>
      <c r="E23" s="630"/>
      <c r="F23" s="630"/>
      <c r="H23" s="590" t="s">
        <v>705</v>
      </c>
      <c r="I23" s="590"/>
      <c r="J23" s="590"/>
    </row>
  </sheetData>
  <sheetProtection/>
  <mergeCells count="10">
    <mergeCell ref="H22:J22"/>
    <mergeCell ref="H23:J23"/>
    <mergeCell ref="A1:J1"/>
    <mergeCell ref="A2:J2"/>
    <mergeCell ref="A3:J3"/>
    <mergeCell ref="A17:C17"/>
    <mergeCell ref="A22:B22"/>
    <mergeCell ref="A23:B23"/>
    <mergeCell ref="D22:F22"/>
    <mergeCell ref="D23:F23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F21" sqref="F21:G22"/>
    </sheetView>
  </sheetViews>
  <sheetFormatPr defaultColWidth="9.140625" defaultRowHeight="15"/>
  <cols>
    <col min="1" max="1" width="15.7109375" style="3" customWidth="1"/>
    <col min="2" max="2" width="20.140625" style="3" customWidth="1"/>
    <col min="3" max="3" width="20.421875" style="3" customWidth="1"/>
    <col min="4" max="4" width="16.421875" style="3" customWidth="1"/>
    <col min="5" max="5" width="20.28125" style="3" customWidth="1"/>
    <col min="6" max="6" width="18.8515625" style="3" customWidth="1"/>
    <col min="7" max="7" width="18.421875" style="3" customWidth="1"/>
    <col min="8" max="16384" width="9.00390625" style="3" customWidth="1"/>
  </cols>
  <sheetData>
    <row r="1" spans="1:7" ht="21">
      <c r="A1" s="604" t="str">
        <f>+งบแสดงฐานะการเงิน!A1</f>
        <v>องค์การบริหารส่วนตำบลโพนทอง</v>
      </c>
      <c r="B1" s="604"/>
      <c r="C1" s="604"/>
      <c r="D1" s="604"/>
      <c r="E1" s="604"/>
      <c r="F1" s="604"/>
      <c r="G1" s="604"/>
    </row>
    <row r="2" spans="1:7" ht="21">
      <c r="A2" s="604" t="s">
        <v>132</v>
      </c>
      <c r="B2" s="604"/>
      <c r="C2" s="604"/>
      <c r="D2" s="604"/>
      <c r="E2" s="604"/>
      <c r="F2" s="604"/>
      <c r="G2" s="604"/>
    </row>
    <row r="3" spans="1:7" ht="21">
      <c r="A3" s="604" t="str">
        <f>+'ตามแผนงาน 1'!A3:F3</f>
        <v>ตั้งแต่วันที่  1  ตุลาคม 2560  ถึง  30 กันยายน 2561</v>
      </c>
      <c r="B3" s="604"/>
      <c r="C3" s="604"/>
      <c r="D3" s="604"/>
      <c r="E3" s="604"/>
      <c r="F3" s="604"/>
      <c r="G3" s="604"/>
    </row>
    <row r="4" ht="18.75" customHeight="1"/>
    <row r="5" spans="1:7" s="7" customFormat="1" ht="63">
      <c r="A5" s="68" t="s">
        <v>94</v>
      </c>
      <c r="B5" s="68" t="s">
        <v>79</v>
      </c>
      <c r="C5" s="68" t="s">
        <v>76</v>
      </c>
      <c r="D5" s="14" t="s">
        <v>29</v>
      </c>
      <c r="E5" s="14" t="s">
        <v>133</v>
      </c>
      <c r="F5" s="14" t="s">
        <v>134</v>
      </c>
      <c r="G5" s="68" t="s">
        <v>68</v>
      </c>
    </row>
    <row r="6" spans="1:9" ht="21" customHeight="1">
      <c r="A6" s="174" t="s">
        <v>96</v>
      </c>
      <c r="B6" s="174" t="s">
        <v>97</v>
      </c>
      <c r="C6" s="174" t="s">
        <v>575</v>
      </c>
      <c r="D6" s="10"/>
      <c r="E6" s="10"/>
      <c r="F6" s="10"/>
      <c r="G6" s="390">
        <f>SUM(E6:F6)</f>
        <v>0</v>
      </c>
      <c r="H6" s="10"/>
      <c r="I6" s="10">
        <f>SUM(E6:H6)</f>
        <v>0</v>
      </c>
    </row>
    <row r="7" spans="1:9" ht="21" customHeight="1">
      <c r="A7" s="88"/>
      <c r="B7" s="88" t="s">
        <v>98</v>
      </c>
      <c r="C7" s="88" t="s">
        <v>575</v>
      </c>
      <c r="D7" s="11"/>
      <c r="E7" s="11"/>
      <c r="F7" s="11"/>
      <c r="G7" s="390">
        <f>SUM(E7:F7)</f>
        <v>0</v>
      </c>
      <c r="H7" s="11"/>
      <c r="I7" s="11">
        <f>SUM(E7:H7)</f>
        <v>0</v>
      </c>
    </row>
    <row r="8" spans="1:7" ht="21">
      <c r="A8" s="9" t="s">
        <v>99</v>
      </c>
      <c r="B8" s="16" t="s">
        <v>45</v>
      </c>
      <c r="C8" s="88" t="s">
        <v>575</v>
      </c>
      <c r="D8" s="11"/>
      <c r="E8" s="11"/>
      <c r="F8" s="11"/>
      <c r="G8" s="390">
        <f>SUM(E8:F8)</f>
        <v>0</v>
      </c>
    </row>
    <row r="9" spans="1:7" ht="21">
      <c r="A9" s="9"/>
      <c r="B9" s="16" t="s">
        <v>46</v>
      </c>
      <c r="C9" s="88" t="s">
        <v>575</v>
      </c>
      <c r="D9" s="11">
        <v>255000</v>
      </c>
      <c r="E9" s="11"/>
      <c r="F9" s="11">
        <v>206654</v>
      </c>
      <c r="G9" s="390">
        <f>SUM(E9:F9)</f>
        <v>206654</v>
      </c>
    </row>
    <row r="10" spans="1:7" ht="21">
      <c r="A10" s="9"/>
      <c r="B10" s="16" t="s">
        <v>47</v>
      </c>
      <c r="C10" s="88" t="s">
        <v>575</v>
      </c>
      <c r="D10" s="11"/>
      <c r="E10" s="11"/>
      <c r="F10" s="11"/>
      <c r="G10" s="390">
        <f aca="true" t="shared" si="0" ref="G10:G16">SUM(E10:F10)</f>
        <v>0</v>
      </c>
    </row>
    <row r="11" spans="1:7" ht="21">
      <c r="A11" s="9"/>
      <c r="B11" s="16" t="s">
        <v>100</v>
      </c>
      <c r="C11" s="88" t="s">
        <v>575</v>
      </c>
      <c r="D11" s="11"/>
      <c r="E11" s="11"/>
      <c r="F11" s="11"/>
      <c r="G11" s="390">
        <f t="shared" si="0"/>
        <v>0</v>
      </c>
    </row>
    <row r="12" spans="1:7" ht="21">
      <c r="A12" s="9" t="s">
        <v>102</v>
      </c>
      <c r="B12" s="16" t="s">
        <v>101</v>
      </c>
      <c r="C12" s="88" t="s">
        <v>575</v>
      </c>
      <c r="D12" s="11"/>
      <c r="E12" s="11"/>
      <c r="F12" s="11"/>
      <c r="G12" s="390">
        <f t="shared" si="0"/>
        <v>0</v>
      </c>
    </row>
    <row r="13" spans="1:7" ht="21">
      <c r="A13" s="9"/>
      <c r="B13" s="16" t="s">
        <v>50</v>
      </c>
      <c r="C13" s="88" t="s">
        <v>575</v>
      </c>
      <c r="D13" s="11"/>
      <c r="E13" s="11"/>
      <c r="F13" s="11"/>
      <c r="G13" s="390">
        <f t="shared" si="0"/>
        <v>0</v>
      </c>
    </row>
    <row r="14" spans="1:7" ht="21">
      <c r="A14" s="88"/>
      <c r="B14" s="91" t="s">
        <v>50</v>
      </c>
      <c r="C14" s="88" t="s">
        <v>695</v>
      </c>
      <c r="D14" s="11"/>
      <c r="E14" s="11"/>
      <c r="F14" s="11"/>
      <c r="G14" s="390">
        <f t="shared" si="0"/>
        <v>0</v>
      </c>
    </row>
    <row r="15" spans="1:7" ht="21">
      <c r="A15" s="9" t="s">
        <v>103</v>
      </c>
      <c r="B15" s="16" t="s">
        <v>48</v>
      </c>
      <c r="C15" s="88" t="s">
        <v>575</v>
      </c>
      <c r="D15" s="11"/>
      <c r="E15" s="11"/>
      <c r="F15" s="11"/>
      <c r="G15" s="390">
        <f t="shared" si="0"/>
        <v>0</v>
      </c>
    </row>
    <row r="16" spans="1:7" ht="21">
      <c r="A16" s="9" t="s">
        <v>104</v>
      </c>
      <c r="B16" s="16" t="s">
        <v>28</v>
      </c>
      <c r="C16" s="88" t="s">
        <v>575</v>
      </c>
      <c r="D16" s="11">
        <v>42000</v>
      </c>
      <c r="E16" s="11"/>
      <c r="F16" s="11">
        <v>42000</v>
      </c>
      <c r="G16" s="390">
        <f t="shared" si="0"/>
        <v>42000</v>
      </c>
    </row>
    <row r="17" spans="1:7" ht="21.75" thickBot="1">
      <c r="A17" s="603" t="s">
        <v>68</v>
      </c>
      <c r="B17" s="603"/>
      <c r="C17" s="603"/>
      <c r="D17" s="82">
        <f>SUM(D8:D16)</f>
        <v>297000</v>
      </c>
      <c r="E17" s="82">
        <f>SUM(E8:E16)</f>
        <v>0</v>
      </c>
      <c r="F17" s="82">
        <f>SUM(F8:F16)</f>
        <v>248654</v>
      </c>
      <c r="G17" s="82">
        <f>SUM(G8:G16)</f>
        <v>248654</v>
      </c>
    </row>
    <row r="18" ht="16.5" customHeight="1" thickTop="1"/>
    <row r="19" ht="21">
      <c r="A19" s="6" t="s">
        <v>95</v>
      </c>
    </row>
    <row r="21" spans="1:8" ht="21">
      <c r="A21" s="630" t="s">
        <v>338</v>
      </c>
      <c r="B21" s="630"/>
      <c r="C21" s="630" t="s">
        <v>339</v>
      </c>
      <c r="D21" s="630"/>
      <c r="E21" s="630"/>
      <c r="F21" s="590" t="s">
        <v>342</v>
      </c>
      <c r="G21" s="590"/>
      <c r="H21" s="75"/>
    </row>
    <row r="22" spans="1:8" ht="21">
      <c r="A22" s="630" t="s">
        <v>340</v>
      </c>
      <c r="B22" s="630"/>
      <c r="C22" s="630" t="s">
        <v>372</v>
      </c>
      <c r="D22" s="630"/>
      <c r="E22" s="630"/>
      <c r="F22" s="590" t="s">
        <v>705</v>
      </c>
      <c r="G22" s="590"/>
      <c r="H22" s="75"/>
    </row>
  </sheetData>
  <sheetProtection/>
  <mergeCells count="10">
    <mergeCell ref="F21:G21"/>
    <mergeCell ref="F22:G22"/>
    <mergeCell ref="A1:G1"/>
    <mergeCell ref="A2:G2"/>
    <mergeCell ref="A3:G3"/>
    <mergeCell ref="A17:C17"/>
    <mergeCell ref="A21:B21"/>
    <mergeCell ref="A22:B22"/>
    <mergeCell ref="C21:E21"/>
    <mergeCell ref="C22:E22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7">
      <selection activeCell="G22" sqref="G22:H23"/>
    </sheetView>
  </sheetViews>
  <sheetFormatPr defaultColWidth="9.140625" defaultRowHeight="15"/>
  <cols>
    <col min="1" max="1" width="15.7109375" style="3" customWidth="1"/>
    <col min="2" max="2" width="21.57421875" style="3" customWidth="1"/>
    <col min="3" max="3" width="15.8515625" style="3" customWidth="1"/>
    <col min="4" max="4" width="13.140625" style="3" customWidth="1"/>
    <col min="5" max="5" width="15.421875" style="3" customWidth="1"/>
    <col min="6" max="6" width="14.00390625" style="3" customWidth="1"/>
    <col min="7" max="7" width="13.8515625" style="3" customWidth="1"/>
    <col min="8" max="8" width="15.57421875" style="3" customWidth="1"/>
    <col min="9" max="9" width="12.57421875" style="3" customWidth="1"/>
    <col min="10" max="16384" width="9.00390625" style="3" customWidth="1"/>
  </cols>
  <sheetData>
    <row r="1" spans="1:9" ht="21">
      <c r="A1" s="604" t="str">
        <f>+งบแสดงฐานะการเงิน!A1</f>
        <v>องค์การบริหารส่วนตำบลโพนทอง</v>
      </c>
      <c r="B1" s="604"/>
      <c r="C1" s="604"/>
      <c r="D1" s="604"/>
      <c r="E1" s="604"/>
      <c r="F1" s="604"/>
      <c r="G1" s="604"/>
      <c r="H1" s="604"/>
      <c r="I1" s="604"/>
    </row>
    <row r="2" spans="1:9" ht="21">
      <c r="A2" s="604" t="s">
        <v>135</v>
      </c>
      <c r="B2" s="604"/>
      <c r="C2" s="604"/>
      <c r="D2" s="604"/>
      <c r="E2" s="604"/>
      <c r="F2" s="604"/>
      <c r="G2" s="604"/>
      <c r="H2" s="604"/>
      <c r="I2" s="604"/>
    </row>
    <row r="3" spans="1:9" ht="21">
      <c r="A3" s="604" t="str">
        <f>+'ตามแผนงาน 1'!A3:F3</f>
        <v>ตั้งแต่วันที่  1  ตุลาคม 2560  ถึง  30 กันยายน 2561</v>
      </c>
      <c r="B3" s="604"/>
      <c r="C3" s="604"/>
      <c r="D3" s="604"/>
      <c r="E3" s="604"/>
      <c r="F3" s="604"/>
      <c r="G3" s="604"/>
      <c r="H3" s="604"/>
      <c r="I3" s="604"/>
    </row>
    <row r="4" ht="20.25" customHeight="1"/>
    <row r="5" spans="1:9" s="7" customFormat="1" ht="84">
      <c r="A5" s="13" t="s">
        <v>94</v>
      </c>
      <c r="B5" s="13" t="s">
        <v>79</v>
      </c>
      <c r="C5" s="13" t="s">
        <v>76</v>
      </c>
      <c r="D5" s="14" t="s">
        <v>29</v>
      </c>
      <c r="E5" s="18" t="s">
        <v>136</v>
      </c>
      <c r="F5" s="17" t="s">
        <v>137</v>
      </c>
      <c r="G5" s="17" t="s">
        <v>138</v>
      </c>
      <c r="H5" s="17" t="s">
        <v>139</v>
      </c>
      <c r="I5" s="13" t="s">
        <v>68</v>
      </c>
    </row>
    <row r="6" spans="1:9" ht="21" customHeight="1">
      <c r="A6" s="8" t="s">
        <v>96</v>
      </c>
      <c r="B6" s="8" t="s">
        <v>97</v>
      </c>
      <c r="C6" s="174" t="s">
        <v>575</v>
      </c>
      <c r="D6" s="10"/>
      <c r="E6" s="10"/>
      <c r="F6" s="10"/>
      <c r="G6" s="10"/>
      <c r="H6" s="10"/>
      <c r="I6" s="389">
        <f>SUM(E6:H6)</f>
        <v>0</v>
      </c>
    </row>
    <row r="7" spans="1:9" ht="21" customHeight="1">
      <c r="A7" s="9"/>
      <c r="B7" s="9" t="s">
        <v>98</v>
      </c>
      <c r="C7" s="88" t="s">
        <v>575</v>
      </c>
      <c r="D7" s="11"/>
      <c r="E7" s="11"/>
      <c r="F7" s="11"/>
      <c r="G7" s="11"/>
      <c r="H7" s="11"/>
      <c r="I7" s="390">
        <f>SUM(E7:H7)</f>
        <v>0</v>
      </c>
    </row>
    <row r="8" spans="1:9" ht="21" customHeight="1">
      <c r="A8" s="9" t="s">
        <v>99</v>
      </c>
      <c r="B8" s="16" t="s">
        <v>45</v>
      </c>
      <c r="C8" s="88" t="s">
        <v>575</v>
      </c>
      <c r="D8" s="11"/>
      <c r="E8" s="11"/>
      <c r="F8" s="11"/>
      <c r="G8" s="11"/>
      <c r="H8" s="11"/>
      <c r="I8" s="390">
        <f aca="true" t="shared" si="0" ref="I8:I16">SUM(E8:H8)</f>
        <v>0</v>
      </c>
    </row>
    <row r="9" spans="1:9" ht="21" customHeight="1">
      <c r="A9" s="9"/>
      <c r="B9" s="16" t="s">
        <v>46</v>
      </c>
      <c r="C9" s="88" t="s">
        <v>575</v>
      </c>
      <c r="D9" s="11">
        <f>150000+215000</f>
        <v>365000</v>
      </c>
      <c r="E9" s="11"/>
      <c r="F9" s="11">
        <v>148240</v>
      </c>
      <c r="G9" s="11">
        <v>202450</v>
      </c>
      <c r="H9" s="11"/>
      <c r="I9" s="390">
        <f t="shared" si="0"/>
        <v>350690</v>
      </c>
    </row>
    <row r="10" spans="1:9" ht="21" customHeight="1">
      <c r="A10" s="9"/>
      <c r="B10" s="16" t="s">
        <v>47</v>
      </c>
      <c r="C10" s="88" t="s">
        <v>575</v>
      </c>
      <c r="D10" s="11">
        <v>30000</v>
      </c>
      <c r="E10" s="11"/>
      <c r="F10" s="11">
        <v>30000</v>
      </c>
      <c r="G10" s="11"/>
      <c r="H10" s="11"/>
      <c r="I10" s="390">
        <f t="shared" si="0"/>
        <v>30000</v>
      </c>
    </row>
    <row r="11" spans="1:9" ht="21" customHeight="1">
      <c r="A11" s="9"/>
      <c r="B11" s="16" t="s">
        <v>100</v>
      </c>
      <c r="C11" s="88" t="s">
        <v>575</v>
      </c>
      <c r="D11" s="11"/>
      <c r="E11" s="11"/>
      <c r="F11" s="11"/>
      <c r="G11" s="11"/>
      <c r="H11" s="11"/>
      <c r="I11" s="390">
        <f t="shared" si="0"/>
        <v>0</v>
      </c>
    </row>
    <row r="12" spans="1:9" ht="21" customHeight="1">
      <c r="A12" s="9" t="s">
        <v>102</v>
      </c>
      <c r="B12" s="16" t="s">
        <v>101</v>
      </c>
      <c r="C12" s="88" t="s">
        <v>575</v>
      </c>
      <c r="D12" s="11"/>
      <c r="E12" s="11"/>
      <c r="F12" s="11"/>
      <c r="G12" s="11"/>
      <c r="H12" s="11"/>
      <c r="I12" s="390">
        <f t="shared" si="0"/>
        <v>0</v>
      </c>
    </row>
    <row r="13" spans="1:9" ht="21" customHeight="1">
      <c r="A13" s="9"/>
      <c r="B13" s="16" t="s">
        <v>50</v>
      </c>
      <c r="C13" s="88" t="s">
        <v>575</v>
      </c>
      <c r="D13" s="11"/>
      <c r="E13" s="11"/>
      <c r="F13" s="11"/>
      <c r="G13" s="11"/>
      <c r="H13" s="11"/>
      <c r="I13" s="390">
        <f t="shared" si="0"/>
        <v>0</v>
      </c>
    </row>
    <row r="14" spans="1:9" ht="21" customHeight="1">
      <c r="A14" s="88"/>
      <c r="B14" s="91" t="s">
        <v>50</v>
      </c>
      <c r="C14" s="88" t="s">
        <v>695</v>
      </c>
      <c r="D14" s="11"/>
      <c r="E14" s="11"/>
      <c r="F14" s="11"/>
      <c r="G14" s="11"/>
      <c r="H14" s="11"/>
      <c r="I14" s="390">
        <f t="shared" si="0"/>
        <v>0</v>
      </c>
    </row>
    <row r="15" spans="1:9" ht="21" customHeight="1">
      <c r="A15" s="9" t="s">
        <v>103</v>
      </c>
      <c r="B15" s="16" t="s">
        <v>48</v>
      </c>
      <c r="C15" s="88" t="s">
        <v>575</v>
      </c>
      <c r="D15" s="11"/>
      <c r="E15" s="11"/>
      <c r="F15" s="11"/>
      <c r="G15" s="11"/>
      <c r="H15" s="11"/>
      <c r="I15" s="390">
        <f t="shared" si="0"/>
        <v>0</v>
      </c>
    </row>
    <row r="16" spans="1:9" ht="21" customHeight="1">
      <c r="A16" s="9" t="s">
        <v>104</v>
      </c>
      <c r="B16" s="16" t="s">
        <v>28</v>
      </c>
      <c r="C16" s="88" t="s">
        <v>575</v>
      </c>
      <c r="D16" s="11">
        <v>20000</v>
      </c>
      <c r="E16" s="11"/>
      <c r="F16" s="11"/>
      <c r="G16" s="11">
        <v>20000</v>
      </c>
      <c r="H16" s="11"/>
      <c r="I16" s="390">
        <f t="shared" si="0"/>
        <v>20000</v>
      </c>
    </row>
    <row r="17" spans="1:9" ht="21.75" thickBot="1">
      <c r="A17" s="603" t="s">
        <v>68</v>
      </c>
      <c r="B17" s="603"/>
      <c r="C17" s="603"/>
      <c r="D17" s="82">
        <f aca="true" t="shared" si="1" ref="D17:I17">SUM(D6:D16)</f>
        <v>415000</v>
      </c>
      <c r="E17" s="82">
        <f t="shared" si="1"/>
        <v>0</v>
      </c>
      <c r="F17" s="82">
        <f t="shared" si="1"/>
        <v>178240</v>
      </c>
      <c r="G17" s="82">
        <f t="shared" si="1"/>
        <v>222450</v>
      </c>
      <c r="H17" s="82">
        <f t="shared" si="1"/>
        <v>0</v>
      </c>
      <c r="I17" s="82">
        <f t="shared" si="1"/>
        <v>400690</v>
      </c>
    </row>
    <row r="18" ht="18" customHeight="1" thickTop="1"/>
    <row r="19" ht="21">
      <c r="A19" s="6" t="s">
        <v>95</v>
      </c>
    </row>
    <row r="20" ht="21">
      <c r="A20" s="6"/>
    </row>
    <row r="21" ht="21">
      <c r="A21" s="6"/>
    </row>
    <row r="22" spans="1:8" ht="21">
      <c r="A22" s="630" t="s">
        <v>338</v>
      </c>
      <c r="B22" s="630"/>
      <c r="C22" s="630" t="s">
        <v>339</v>
      </c>
      <c r="D22" s="630"/>
      <c r="E22" s="630"/>
      <c r="G22" s="590" t="s">
        <v>342</v>
      </c>
      <c r="H22" s="590"/>
    </row>
    <row r="23" spans="1:8" ht="21">
      <c r="A23" s="630" t="s">
        <v>340</v>
      </c>
      <c r="B23" s="630"/>
      <c r="C23" s="630" t="s">
        <v>372</v>
      </c>
      <c r="D23" s="630"/>
      <c r="E23" s="630"/>
      <c r="F23" s="75"/>
      <c r="G23" s="590" t="s">
        <v>705</v>
      </c>
      <c r="H23" s="590"/>
    </row>
    <row r="24" spans="1:6" ht="21">
      <c r="A24" s="2"/>
      <c r="B24" s="2"/>
      <c r="C24" s="2"/>
      <c r="D24" s="2"/>
      <c r="E24" s="75"/>
      <c r="F24" s="75"/>
    </row>
  </sheetData>
  <sheetProtection/>
  <mergeCells count="10">
    <mergeCell ref="A1:I1"/>
    <mergeCell ref="A2:I2"/>
    <mergeCell ref="A3:I3"/>
    <mergeCell ref="A17:C17"/>
    <mergeCell ref="A22:B22"/>
    <mergeCell ref="A23:B23"/>
    <mergeCell ref="C22:E22"/>
    <mergeCell ref="C23:E23"/>
    <mergeCell ref="G22:H22"/>
    <mergeCell ref="G23:H23"/>
  </mergeCells>
  <printOptions/>
  <pageMargins left="0.31496062992125984" right="0.31496062992125984" top="0.35433070866141736" bottom="0.35433070866141736" header="0.2755905511811024" footer="0.31496062992125984"/>
  <pageSetup horizontalDpi="600" verticalDpi="600" orientation="landscape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F21" sqref="F21:G22"/>
    </sheetView>
  </sheetViews>
  <sheetFormatPr defaultColWidth="9.140625" defaultRowHeight="15"/>
  <cols>
    <col min="1" max="1" width="15.7109375" style="3" customWidth="1"/>
    <col min="2" max="2" width="22.421875" style="3" customWidth="1"/>
    <col min="3" max="3" width="17.7109375" style="3" customWidth="1"/>
    <col min="4" max="4" width="16.140625" style="3" customWidth="1"/>
    <col min="5" max="5" width="20.421875" style="3" customWidth="1"/>
    <col min="6" max="6" width="17.8515625" style="3" customWidth="1"/>
    <col min="7" max="7" width="14.7109375" style="3" customWidth="1"/>
    <col min="8" max="16384" width="9.00390625" style="3" customWidth="1"/>
  </cols>
  <sheetData>
    <row r="1" spans="1:7" ht="21">
      <c r="A1" s="604" t="str">
        <f>+งบแสดงฐานะการเงิน!A1</f>
        <v>องค์การบริหารส่วนตำบลโพนทอง</v>
      </c>
      <c r="B1" s="604"/>
      <c r="C1" s="604"/>
      <c r="D1" s="604"/>
      <c r="E1" s="604"/>
      <c r="F1" s="604"/>
      <c r="G1" s="604"/>
    </row>
    <row r="2" spans="1:7" ht="21">
      <c r="A2" s="604" t="s">
        <v>140</v>
      </c>
      <c r="B2" s="604"/>
      <c r="C2" s="604"/>
      <c r="D2" s="604"/>
      <c r="E2" s="604"/>
      <c r="F2" s="604"/>
      <c r="G2" s="604"/>
    </row>
    <row r="3" spans="1:7" ht="21">
      <c r="A3" s="604" t="str">
        <f>+'ตามแผนงาน 1'!A3:F3</f>
        <v>ตั้งแต่วันที่  1  ตุลาคม 2560  ถึง  30 กันยายน 2561</v>
      </c>
      <c r="B3" s="604"/>
      <c r="C3" s="604"/>
      <c r="D3" s="604"/>
      <c r="E3" s="604"/>
      <c r="F3" s="604"/>
      <c r="G3" s="604"/>
    </row>
    <row r="5" spans="1:7" s="7" customFormat="1" ht="63">
      <c r="A5" s="13" t="s">
        <v>94</v>
      </c>
      <c r="B5" s="13" t="s">
        <v>79</v>
      </c>
      <c r="C5" s="13" t="s">
        <v>76</v>
      </c>
      <c r="D5" s="14" t="s">
        <v>29</v>
      </c>
      <c r="E5" s="18" t="s">
        <v>141</v>
      </c>
      <c r="F5" s="17" t="s">
        <v>142</v>
      </c>
      <c r="G5" s="13" t="s">
        <v>68</v>
      </c>
    </row>
    <row r="6" spans="1:7" ht="19.5" customHeight="1">
      <c r="A6" s="8" t="s">
        <v>96</v>
      </c>
      <c r="B6" s="8" t="s">
        <v>97</v>
      </c>
      <c r="C6" s="8"/>
      <c r="D6" s="10"/>
      <c r="E6" s="10"/>
      <c r="F6" s="10"/>
      <c r="G6" s="389">
        <f>SUM(E6:F6)</f>
        <v>0</v>
      </c>
    </row>
    <row r="7" spans="1:7" ht="19.5" customHeight="1">
      <c r="A7" s="9"/>
      <c r="B7" s="9" t="s">
        <v>98</v>
      </c>
      <c r="C7" s="9"/>
      <c r="D7" s="11"/>
      <c r="E7" s="11"/>
      <c r="F7" s="11"/>
      <c r="G7" s="390">
        <f aca="true" t="shared" si="0" ref="G7:G16">SUM(E7:F7)</f>
        <v>0</v>
      </c>
    </row>
    <row r="8" spans="1:7" ht="19.5" customHeight="1">
      <c r="A8" s="9" t="s">
        <v>99</v>
      </c>
      <c r="B8" s="16" t="s">
        <v>45</v>
      </c>
      <c r="C8" s="9"/>
      <c r="D8" s="11"/>
      <c r="E8" s="11"/>
      <c r="F8" s="11"/>
      <c r="G8" s="390">
        <f t="shared" si="0"/>
        <v>0</v>
      </c>
    </row>
    <row r="9" spans="1:7" ht="19.5" customHeight="1">
      <c r="A9" s="9"/>
      <c r="B9" s="16" t="s">
        <v>46</v>
      </c>
      <c r="C9" s="9"/>
      <c r="D9" s="11"/>
      <c r="E9" s="11"/>
      <c r="F9" s="11"/>
      <c r="G9" s="390">
        <f t="shared" si="0"/>
        <v>0</v>
      </c>
    </row>
    <row r="10" spans="1:7" ht="19.5" customHeight="1">
      <c r="A10" s="9"/>
      <c r="B10" s="16" t="s">
        <v>47</v>
      </c>
      <c r="C10" s="9"/>
      <c r="D10" s="11"/>
      <c r="E10" s="11"/>
      <c r="F10" s="11"/>
      <c r="G10" s="390">
        <f t="shared" si="0"/>
        <v>0</v>
      </c>
    </row>
    <row r="11" spans="1:7" ht="19.5" customHeight="1">
      <c r="A11" s="9"/>
      <c r="B11" s="16" t="s">
        <v>100</v>
      </c>
      <c r="C11" s="9"/>
      <c r="D11" s="11"/>
      <c r="E11" s="11"/>
      <c r="F11" s="11"/>
      <c r="G11" s="390">
        <f t="shared" si="0"/>
        <v>0</v>
      </c>
    </row>
    <row r="12" spans="1:7" ht="19.5" customHeight="1">
      <c r="A12" s="9" t="s">
        <v>102</v>
      </c>
      <c r="B12" s="16" t="s">
        <v>101</v>
      </c>
      <c r="C12" s="16"/>
      <c r="D12" s="11"/>
      <c r="E12" s="11"/>
      <c r="F12" s="11"/>
      <c r="G12" s="390">
        <f t="shared" si="0"/>
        <v>0</v>
      </c>
    </row>
    <row r="13" spans="1:7" ht="19.5" customHeight="1">
      <c r="A13" s="9"/>
      <c r="B13" s="16" t="s">
        <v>50</v>
      </c>
      <c r="C13" s="16"/>
      <c r="D13" s="11"/>
      <c r="E13" s="11"/>
      <c r="F13" s="11"/>
      <c r="G13" s="390">
        <f t="shared" si="0"/>
        <v>0</v>
      </c>
    </row>
    <row r="14" spans="1:7" ht="19.5" customHeight="1">
      <c r="A14" s="88"/>
      <c r="B14" s="91" t="s">
        <v>50</v>
      </c>
      <c r="C14" s="88"/>
      <c r="D14" s="11"/>
      <c r="E14" s="11"/>
      <c r="F14" s="11"/>
      <c r="G14" s="390">
        <f t="shared" si="0"/>
        <v>0</v>
      </c>
    </row>
    <row r="15" spans="1:7" ht="19.5" customHeight="1">
      <c r="A15" s="9" t="s">
        <v>103</v>
      </c>
      <c r="B15" s="16" t="s">
        <v>48</v>
      </c>
      <c r="C15" s="16"/>
      <c r="D15" s="11"/>
      <c r="E15" s="11"/>
      <c r="F15" s="11"/>
      <c r="G15" s="390">
        <f t="shared" si="0"/>
        <v>0</v>
      </c>
    </row>
    <row r="16" spans="1:7" ht="19.5" customHeight="1">
      <c r="A16" s="9" t="s">
        <v>104</v>
      </c>
      <c r="B16" s="16" t="s">
        <v>28</v>
      </c>
      <c r="C16" s="16"/>
      <c r="D16" s="11"/>
      <c r="E16" s="11"/>
      <c r="F16" s="11"/>
      <c r="G16" s="391">
        <f t="shared" si="0"/>
        <v>0</v>
      </c>
    </row>
    <row r="17" spans="1:7" ht="21.75" thickBot="1">
      <c r="A17" s="603" t="s">
        <v>68</v>
      </c>
      <c r="B17" s="603"/>
      <c r="C17" s="603"/>
      <c r="D17" s="82">
        <f>SUM(D6:D16)</f>
        <v>0</v>
      </c>
      <c r="E17" s="82">
        <f>SUM(E6:E16)</f>
        <v>0</v>
      </c>
      <c r="F17" s="82">
        <f>SUM(F6:F16)</f>
        <v>0</v>
      </c>
      <c r="G17" s="82">
        <f>SUM(G6:G16)</f>
        <v>0</v>
      </c>
    </row>
    <row r="18" ht="21.75" thickTop="1"/>
    <row r="19" ht="21">
      <c r="A19" s="6" t="s">
        <v>95</v>
      </c>
    </row>
    <row r="21" spans="1:7" ht="21">
      <c r="A21" s="630" t="s">
        <v>338</v>
      </c>
      <c r="B21" s="630"/>
      <c r="C21" s="630" t="s">
        <v>339</v>
      </c>
      <c r="D21" s="630"/>
      <c r="E21" s="630"/>
      <c r="F21" s="590" t="s">
        <v>342</v>
      </c>
      <c r="G21" s="590"/>
    </row>
    <row r="22" spans="1:7" ht="21">
      <c r="A22" s="630" t="s">
        <v>340</v>
      </c>
      <c r="B22" s="630"/>
      <c r="C22" s="630" t="s">
        <v>372</v>
      </c>
      <c r="D22" s="630"/>
      <c r="E22" s="630"/>
      <c r="F22" s="590" t="s">
        <v>705</v>
      </c>
      <c r="G22" s="590"/>
    </row>
  </sheetData>
  <sheetProtection/>
  <mergeCells count="10">
    <mergeCell ref="F21:G21"/>
    <mergeCell ref="F22:G22"/>
    <mergeCell ref="A1:G1"/>
    <mergeCell ref="A2:G2"/>
    <mergeCell ref="A3:G3"/>
    <mergeCell ref="A17:C17"/>
    <mergeCell ref="A21:B21"/>
    <mergeCell ref="A22:B22"/>
    <mergeCell ref="C21:E21"/>
    <mergeCell ref="C22:E22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F22" sqref="F22:G23"/>
    </sheetView>
  </sheetViews>
  <sheetFormatPr defaultColWidth="9.140625" defaultRowHeight="15"/>
  <cols>
    <col min="1" max="1" width="15.7109375" style="3" customWidth="1"/>
    <col min="2" max="2" width="24.7109375" style="3" customWidth="1"/>
    <col min="3" max="3" width="17.28125" style="3" customWidth="1"/>
    <col min="4" max="4" width="17.7109375" style="3" customWidth="1"/>
    <col min="5" max="5" width="19.421875" style="3" customWidth="1"/>
    <col min="6" max="6" width="21.28125" style="3" customWidth="1"/>
    <col min="7" max="7" width="16.00390625" style="3" customWidth="1"/>
    <col min="8" max="16384" width="9.00390625" style="3" customWidth="1"/>
  </cols>
  <sheetData>
    <row r="1" spans="1:7" ht="21">
      <c r="A1" s="604" t="str">
        <f>+งบแสดงฐานะการเงิน!A1</f>
        <v>องค์การบริหารส่วนตำบลโพนทอง</v>
      </c>
      <c r="B1" s="604"/>
      <c r="C1" s="604"/>
      <c r="D1" s="604"/>
      <c r="E1" s="604"/>
      <c r="F1" s="604"/>
      <c r="G1" s="604"/>
    </row>
    <row r="2" spans="1:7" ht="21">
      <c r="A2" s="604" t="s">
        <v>143</v>
      </c>
      <c r="B2" s="604"/>
      <c r="C2" s="604"/>
      <c r="D2" s="604"/>
      <c r="E2" s="604"/>
      <c r="F2" s="604"/>
      <c r="G2" s="604"/>
    </row>
    <row r="3" spans="1:7" ht="21">
      <c r="A3" s="604" t="str">
        <f>+'ตามแผนงาน 1'!A3:F3</f>
        <v>ตั้งแต่วันที่  1  ตุลาคม 2560  ถึง  30 กันยายน 2561</v>
      </c>
      <c r="B3" s="604"/>
      <c r="C3" s="604"/>
      <c r="D3" s="604"/>
      <c r="E3" s="604"/>
      <c r="F3" s="604"/>
      <c r="G3" s="604"/>
    </row>
    <row r="4" ht="14.25" customHeight="1"/>
    <row r="5" spans="1:7" s="7" customFormat="1" ht="42">
      <c r="A5" s="13" t="s">
        <v>94</v>
      </c>
      <c r="B5" s="13" t="s">
        <v>79</v>
      </c>
      <c r="C5" s="13" t="s">
        <v>76</v>
      </c>
      <c r="D5" s="14" t="s">
        <v>29</v>
      </c>
      <c r="E5" s="18" t="s">
        <v>144</v>
      </c>
      <c r="F5" s="17" t="s">
        <v>145</v>
      </c>
      <c r="G5" s="13" t="s">
        <v>68</v>
      </c>
    </row>
    <row r="6" spans="1:7" ht="21">
      <c r="A6" s="8" t="s">
        <v>96</v>
      </c>
      <c r="B6" s="8" t="s">
        <v>97</v>
      </c>
      <c r="C6" s="174" t="s">
        <v>575</v>
      </c>
      <c r="D6" s="10"/>
      <c r="E6" s="10"/>
      <c r="F6" s="10"/>
      <c r="G6" s="389">
        <f>SUM(E6:F6)</f>
        <v>0</v>
      </c>
    </row>
    <row r="7" spans="1:7" ht="21">
      <c r="A7" s="9"/>
      <c r="B7" s="9" t="s">
        <v>98</v>
      </c>
      <c r="C7" s="88" t="s">
        <v>575</v>
      </c>
      <c r="D7" s="11"/>
      <c r="E7" s="11"/>
      <c r="F7" s="11"/>
      <c r="G7" s="390">
        <f>SUM(E7:F7)</f>
        <v>0</v>
      </c>
    </row>
    <row r="8" spans="1:7" ht="21">
      <c r="A8" s="9" t="s">
        <v>99</v>
      </c>
      <c r="B8" s="16" t="s">
        <v>45</v>
      </c>
      <c r="C8" s="88" t="s">
        <v>575</v>
      </c>
      <c r="D8" s="11"/>
      <c r="E8" s="11"/>
      <c r="F8" s="11"/>
      <c r="G8" s="390">
        <f aca="true" t="shared" si="0" ref="G8:G16">SUM(E8:F8)</f>
        <v>0</v>
      </c>
    </row>
    <row r="9" spans="1:7" ht="21">
      <c r="A9" s="9"/>
      <c r="B9" s="16" t="s">
        <v>46</v>
      </c>
      <c r="C9" s="88" t="s">
        <v>575</v>
      </c>
      <c r="D9" s="11">
        <f>40000+85000</f>
        <v>125000</v>
      </c>
      <c r="E9" s="11">
        <v>36530</v>
      </c>
      <c r="F9" s="11">
        <v>70130</v>
      </c>
      <c r="G9" s="390">
        <f t="shared" si="0"/>
        <v>106660</v>
      </c>
    </row>
    <row r="10" spans="1:7" ht="21">
      <c r="A10" s="9"/>
      <c r="B10" s="16" t="s">
        <v>47</v>
      </c>
      <c r="C10" s="88" t="s">
        <v>575</v>
      </c>
      <c r="D10" s="11"/>
      <c r="E10" s="11"/>
      <c r="F10" s="11"/>
      <c r="G10" s="390">
        <f t="shared" si="0"/>
        <v>0</v>
      </c>
    </row>
    <row r="11" spans="1:7" ht="21">
      <c r="A11" s="9"/>
      <c r="B11" s="16" t="s">
        <v>100</v>
      </c>
      <c r="C11" s="88" t="s">
        <v>575</v>
      </c>
      <c r="D11" s="11"/>
      <c r="E11" s="11"/>
      <c r="F11" s="11"/>
      <c r="G11" s="390">
        <f t="shared" si="0"/>
        <v>0</v>
      </c>
    </row>
    <row r="12" spans="1:7" ht="21">
      <c r="A12" s="9" t="s">
        <v>102</v>
      </c>
      <c r="B12" s="16" t="s">
        <v>101</v>
      </c>
      <c r="C12" s="88" t="s">
        <v>575</v>
      </c>
      <c r="D12" s="11"/>
      <c r="E12" s="11"/>
      <c r="F12" s="11"/>
      <c r="G12" s="390">
        <f t="shared" si="0"/>
        <v>0</v>
      </c>
    </row>
    <row r="13" spans="1:7" ht="21">
      <c r="A13" s="9"/>
      <c r="B13" s="16" t="s">
        <v>50</v>
      </c>
      <c r="C13" s="88" t="s">
        <v>575</v>
      </c>
      <c r="D13" s="11"/>
      <c r="E13" s="11"/>
      <c r="F13" s="11"/>
      <c r="G13" s="390">
        <f t="shared" si="0"/>
        <v>0</v>
      </c>
    </row>
    <row r="14" spans="1:7" ht="21">
      <c r="A14" s="88"/>
      <c r="B14" s="91" t="s">
        <v>50</v>
      </c>
      <c r="C14" s="88" t="s">
        <v>695</v>
      </c>
      <c r="D14" s="11"/>
      <c r="E14" s="11"/>
      <c r="F14" s="11"/>
      <c r="G14" s="390">
        <f t="shared" si="0"/>
        <v>0</v>
      </c>
    </row>
    <row r="15" spans="1:7" ht="21">
      <c r="A15" s="9" t="s">
        <v>103</v>
      </c>
      <c r="B15" s="16" t="s">
        <v>48</v>
      </c>
      <c r="C15" s="88" t="s">
        <v>575</v>
      </c>
      <c r="D15" s="11"/>
      <c r="E15" s="11"/>
      <c r="F15" s="11"/>
      <c r="G15" s="390">
        <f t="shared" si="0"/>
        <v>0</v>
      </c>
    </row>
    <row r="16" spans="1:7" ht="21">
      <c r="A16" s="9" t="s">
        <v>104</v>
      </c>
      <c r="B16" s="16" t="s">
        <v>28</v>
      </c>
      <c r="C16" s="88" t="s">
        <v>575</v>
      </c>
      <c r="D16" s="11"/>
      <c r="E16" s="11"/>
      <c r="F16" s="11"/>
      <c r="G16" s="390">
        <f t="shared" si="0"/>
        <v>0</v>
      </c>
    </row>
    <row r="17" spans="1:7" ht="21.75" thickBot="1">
      <c r="A17" s="603" t="s">
        <v>68</v>
      </c>
      <c r="B17" s="603"/>
      <c r="C17" s="603"/>
      <c r="D17" s="82">
        <f>SUM(D6:D16)</f>
        <v>125000</v>
      </c>
      <c r="E17" s="82">
        <f>SUM(E6:E16)</f>
        <v>36530</v>
      </c>
      <c r="F17" s="82">
        <f>SUM(F6:F16)</f>
        <v>70130</v>
      </c>
      <c r="G17" s="82">
        <f>SUM(G6:G16)</f>
        <v>106660</v>
      </c>
    </row>
    <row r="18" ht="12.75" customHeight="1" thickTop="1"/>
    <row r="19" ht="21">
      <c r="A19" s="6" t="s">
        <v>95</v>
      </c>
    </row>
    <row r="20" ht="21" customHeight="1"/>
    <row r="21" ht="21" customHeight="1"/>
    <row r="22" spans="1:7" ht="21">
      <c r="A22" s="630" t="s">
        <v>338</v>
      </c>
      <c r="B22" s="630"/>
      <c r="C22" s="630" t="s">
        <v>339</v>
      </c>
      <c r="D22" s="630"/>
      <c r="E22" s="630"/>
      <c r="F22" s="590" t="s">
        <v>342</v>
      </c>
      <c r="G22" s="590"/>
    </row>
    <row r="23" spans="1:7" ht="21">
      <c r="A23" s="630" t="s">
        <v>340</v>
      </c>
      <c r="B23" s="630"/>
      <c r="C23" s="630" t="s">
        <v>372</v>
      </c>
      <c r="D23" s="630"/>
      <c r="E23" s="630"/>
      <c r="F23" s="590" t="s">
        <v>705</v>
      </c>
      <c r="G23" s="590"/>
    </row>
  </sheetData>
  <sheetProtection/>
  <mergeCells count="10">
    <mergeCell ref="A1:G1"/>
    <mergeCell ref="A2:G2"/>
    <mergeCell ref="A3:G3"/>
    <mergeCell ref="A17:C17"/>
    <mergeCell ref="A22:B22"/>
    <mergeCell ref="A23:B23"/>
    <mergeCell ref="C22:E22"/>
    <mergeCell ref="C23:E23"/>
    <mergeCell ref="F22:G22"/>
    <mergeCell ref="F23:G23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5">
      <selection activeCell="E19" sqref="E19"/>
    </sheetView>
  </sheetViews>
  <sheetFormatPr defaultColWidth="26.8515625" defaultRowHeight="15"/>
  <cols>
    <col min="1" max="1" width="34.421875" style="0" customWidth="1"/>
    <col min="2" max="3" width="17.140625" style="0" customWidth="1"/>
    <col min="4" max="4" width="4.140625" style="0" customWidth="1"/>
    <col min="5" max="5" width="17.140625" style="0" customWidth="1"/>
    <col min="6" max="6" width="14.57421875" style="0" customWidth="1"/>
    <col min="7" max="7" width="17.7109375" style="0" customWidth="1"/>
    <col min="8" max="8" width="18.140625" style="0" customWidth="1"/>
  </cols>
  <sheetData>
    <row r="1" spans="1:5" s="470" customFormat="1" ht="17.25">
      <c r="A1" s="566" t="s">
        <v>373</v>
      </c>
      <c r="B1" s="566"/>
      <c r="C1" s="566"/>
      <c r="D1" s="566"/>
      <c r="E1" s="566"/>
    </row>
    <row r="2" spans="1:5" s="470" customFormat="1" ht="17.25">
      <c r="A2" s="566" t="s">
        <v>511</v>
      </c>
      <c r="B2" s="566"/>
      <c r="C2" s="566"/>
      <c r="D2" s="566"/>
      <c r="E2" s="566"/>
    </row>
    <row r="3" spans="1:5" s="470" customFormat="1" ht="17.25">
      <c r="A3" s="566" t="s">
        <v>512</v>
      </c>
      <c r="B3" s="566"/>
      <c r="C3" s="566"/>
      <c r="D3" s="566"/>
      <c r="E3" s="566"/>
    </row>
    <row r="4" spans="1:5" s="470" customFormat="1" ht="17.25">
      <c r="A4" s="567"/>
      <c r="B4" s="563" t="s">
        <v>29</v>
      </c>
      <c r="C4" s="563" t="s">
        <v>374</v>
      </c>
      <c r="D4" s="471" t="s">
        <v>375</v>
      </c>
      <c r="E4" s="471" t="s">
        <v>376</v>
      </c>
    </row>
    <row r="5" spans="1:5" s="470" customFormat="1" ht="17.25">
      <c r="A5" s="568"/>
      <c r="B5" s="564"/>
      <c r="C5" s="564"/>
      <c r="D5" s="472" t="s">
        <v>377</v>
      </c>
      <c r="E5" s="472" t="s">
        <v>378</v>
      </c>
    </row>
    <row r="6" spans="1:5" s="470" customFormat="1" ht="17.25">
      <c r="A6" s="473" t="s">
        <v>379</v>
      </c>
      <c r="B6" s="105"/>
      <c r="C6" s="105"/>
      <c r="D6" s="105"/>
      <c r="E6" s="105"/>
    </row>
    <row r="7" spans="1:8" s="470" customFormat="1" ht="17.25">
      <c r="A7" s="105" t="s">
        <v>380</v>
      </c>
      <c r="B7" s="474">
        <v>135000</v>
      </c>
      <c r="C7" s="474">
        <v>196283.28</v>
      </c>
      <c r="D7" s="475" t="s">
        <v>375</v>
      </c>
      <c r="E7" s="474">
        <v>61283.28</v>
      </c>
      <c r="F7" s="476"/>
      <c r="G7" s="477">
        <f>+C7-B7</f>
        <v>61283.28</v>
      </c>
      <c r="H7" s="478">
        <f>+E7-G7</f>
        <v>0</v>
      </c>
    </row>
    <row r="8" spans="1:8" s="470" customFormat="1" ht="17.25">
      <c r="A8" s="105" t="s">
        <v>381</v>
      </c>
      <c r="B8" s="474">
        <v>121000</v>
      </c>
      <c r="C8" s="474">
        <v>111315.1</v>
      </c>
      <c r="D8" s="475" t="s">
        <v>383</v>
      </c>
      <c r="E8" s="474">
        <v>9684.9</v>
      </c>
      <c r="G8" s="477">
        <f aca="true" t="shared" si="0" ref="G8:G33">+C8-B8</f>
        <v>-9684.899999999994</v>
      </c>
      <c r="H8" s="478">
        <f>+E8+G8</f>
        <v>0</v>
      </c>
    </row>
    <row r="9" spans="1:8" s="470" customFormat="1" ht="17.25">
      <c r="A9" s="105" t="s">
        <v>382</v>
      </c>
      <c r="B9" s="474">
        <v>131000</v>
      </c>
      <c r="C9" s="474">
        <v>134247.2</v>
      </c>
      <c r="D9" s="475" t="s">
        <v>375</v>
      </c>
      <c r="E9" s="474">
        <v>3247.2</v>
      </c>
      <c r="G9" s="477">
        <f t="shared" si="0"/>
        <v>3247.2000000000116</v>
      </c>
      <c r="H9" s="478">
        <f>+E9-G9</f>
        <v>-1.1823431123048067E-11</v>
      </c>
    </row>
    <row r="10" spans="1:8" s="470" customFormat="1" ht="17.25" hidden="1">
      <c r="A10" s="105" t="s">
        <v>384</v>
      </c>
      <c r="B10" s="479">
        <v>0</v>
      </c>
      <c r="C10" s="479">
        <v>0</v>
      </c>
      <c r="D10" s="475"/>
      <c r="E10" s="474">
        <v>0</v>
      </c>
      <c r="G10" s="477">
        <f t="shared" si="0"/>
        <v>0</v>
      </c>
      <c r="H10" s="478">
        <f>+E10-G10</f>
        <v>0</v>
      </c>
    </row>
    <row r="11" spans="1:8" s="470" customFormat="1" ht="17.25">
      <c r="A11" s="105" t="s">
        <v>385</v>
      </c>
      <c r="B11" s="474">
        <v>16000</v>
      </c>
      <c r="C11" s="474">
        <v>6810.5</v>
      </c>
      <c r="D11" s="475" t="s">
        <v>383</v>
      </c>
      <c r="E11" s="474">
        <v>9189.5</v>
      </c>
      <c r="G11" s="477">
        <f t="shared" si="0"/>
        <v>-9189.5</v>
      </c>
      <c r="H11" s="478">
        <f>+E11+G11</f>
        <v>0</v>
      </c>
    </row>
    <row r="12" spans="1:8" s="470" customFormat="1" ht="17.25" hidden="1">
      <c r="A12" s="105" t="s">
        <v>386</v>
      </c>
      <c r="B12" s="479">
        <v>0</v>
      </c>
      <c r="C12" s="479">
        <v>0</v>
      </c>
      <c r="D12" s="475"/>
      <c r="E12" s="474">
        <f>+C12-B12</f>
        <v>0</v>
      </c>
      <c r="G12" s="477">
        <f t="shared" si="0"/>
        <v>0</v>
      </c>
      <c r="H12" s="478">
        <f>+E12-G12</f>
        <v>0</v>
      </c>
    </row>
    <row r="13" spans="1:8" s="470" customFormat="1" ht="17.25">
      <c r="A13" s="105" t="s">
        <v>387</v>
      </c>
      <c r="B13" s="479">
        <v>13597000</v>
      </c>
      <c r="C13" s="479">
        <v>15202338.8</v>
      </c>
      <c r="D13" s="475" t="s">
        <v>388</v>
      </c>
      <c r="E13" s="474">
        <v>1605338.8</v>
      </c>
      <c r="G13" s="477">
        <f t="shared" si="0"/>
        <v>1605338.8000000007</v>
      </c>
      <c r="H13" s="478">
        <f>+E13-G13</f>
        <v>0</v>
      </c>
    </row>
    <row r="14" spans="1:8" s="470" customFormat="1" ht="17.25">
      <c r="A14" s="105" t="s">
        <v>389</v>
      </c>
      <c r="B14" s="479">
        <v>11500000</v>
      </c>
      <c r="C14" s="474">
        <v>10050915</v>
      </c>
      <c r="D14" s="475" t="s">
        <v>377</v>
      </c>
      <c r="E14" s="474">
        <v>1449085</v>
      </c>
      <c r="G14" s="477">
        <f t="shared" si="0"/>
        <v>-1449085</v>
      </c>
      <c r="H14" s="478">
        <f>+E14+G14</f>
        <v>0</v>
      </c>
    </row>
    <row r="15" spans="1:8" s="470" customFormat="1" ht="18" thickBot="1">
      <c r="A15" s="105" t="s">
        <v>390</v>
      </c>
      <c r="B15" s="480">
        <f>SUM(B7:B14)</f>
        <v>25500000</v>
      </c>
      <c r="C15" s="480">
        <f>SUM(C7:C14)</f>
        <v>25701909.880000003</v>
      </c>
      <c r="D15" s="481" t="s">
        <v>388</v>
      </c>
      <c r="E15" s="480">
        <v>201909.88</v>
      </c>
      <c r="G15" s="477">
        <f>SUM(G7:G14)</f>
        <v>201909.88000000082</v>
      </c>
      <c r="H15" s="478">
        <f>+E15-G15</f>
        <v>-8.149072527885437E-10</v>
      </c>
    </row>
    <row r="16" spans="1:8" s="470" customFormat="1" ht="18" thickTop="1">
      <c r="A16" s="105" t="s">
        <v>391</v>
      </c>
      <c r="B16" s="479">
        <v>0</v>
      </c>
      <c r="C16" s="479">
        <v>3646763.24</v>
      </c>
      <c r="D16" s="475"/>
      <c r="E16" s="475"/>
      <c r="G16" s="477">
        <f t="shared" si="0"/>
        <v>3646763.24</v>
      </c>
      <c r="H16" s="478">
        <f>+C16-G16</f>
        <v>0</v>
      </c>
    </row>
    <row r="17" spans="1:8" s="470" customFormat="1" ht="17.25">
      <c r="A17" s="105" t="s">
        <v>392</v>
      </c>
      <c r="B17" s="482">
        <v>0</v>
      </c>
      <c r="C17" s="479">
        <f>+C16</f>
        <v>3646763.24</v>
      </c>
      <c r="D17" s="475"/>
      <c r="E17" s="479"/>
      <c r="G17" s="477">
        <f t="shared" si="0"/>
        <v>3646763.24</v>
      </c>
      <c r="H17" s="478">
        <f>+C17-G17</f>
        <v>0</v>
      </c>
    </row>
    <row r="18" spans="1:8" s="470" customFormat="1" ht="18" thickBot="1">
      <c r="A18" s="483" t="s">
        <v>393</v>
      </c>
      <c r="B18" s="484">
        <f>+B15</f>
        <v>25500000</v>
      </c>
      <c r="C18" s="484">
        <f>+C17+C15</f>
        <v>29348673.120000005</v>
      </c>
      <c r="D18" s="485" t="s">
        <v>375</v>
      </c>
      <c r="E18" s="484">
        <f>+C18-B18</f>
        <v>3848673.120000005</v>
      </c>
      <c r="G18" s="477">
        <f t="shared" si="0"/>
        <v>3848673.120000005</v>
      </c>
      <c r="H18" s="478">
        <f>+E18-G18</f>
        <v>0</v>
      </c>
    </row>
    <row r="19" spans="1:8" s="470" customFormat="1" ht="18" thickTop="1">
      <c r="A19" s="567"/>
      <c r="B19" s="563" t="s">
        <v>29</v>
      </c>
      <c r="C19" s="563" t="s">
        <v>394</v>
      </c>
      <c r="D19" s="471" t="s">
        <v>375</v>
      </c>
      <c r="E19" s="471" t="s">
        <v>376</v>
      </c>
      <c r="G19" s="477" t="e">
        <f t="shared" si="0"/>
        <v>#VALUE!</v>
      </c>
      <c r="H19" s="478" t="e">
        <f>+E19-G19</f>
        <v>#VALUE!</v>
      </c>
    </row>
    <row r="20" spans="1:8" s="470" customFormat="1" ht="17.25">
      <c r="A20" s="568"/>
      <c r="B20" s="564"/>
      <c r="C20" s="564"/>
      <c r="D20" s="472" t="s">
        <v>377</v>
      </c>
      <c r="E20" s="472" t="s">
        <v>378</v>
      </c>
      <c r="G20" s="477">
        <f t="shared" si="0"/>
        <v>0</v>
      </c>
      <c r="H20" s="478" t="e">
        <f>+E20-G20</f>
        <v>#VALUE!</v>
      </c>
    </row>
    <row r="21" spans="1:8" s="470" customFormat="1" ht="17.25">
      <c r="A21" s="105" t="s">
        <v>395</v>
      </c>
      <c r="B21" s="105"/>
      <c r="C21" s="474"/>
      <c r="D21" s="486"/>
      <c r="E21" s="474"/>
      <c r="G21" s="477">
        <f t="shared" si="0"/>
        <v>0</v>
      </c>
      <c r="H21" s="478">
        <f>+E21-G21</f>
        <v>0</v>
      </c>
    </row>
    <row r="22" spans="1:8" s="470" customFormat="1" ht="17.25">
      <c r="A22" s="105" t="s">
        <v>396</v>
      </c>
      <c r="B22" s="474">
        <f>56600+3669000+1100000+12000+159200+70000+140000</f>
        <v>5206800</v>
      </c>
      <c r="C22" s="474">
        <f>54967+3341100+887200+12000+39961+70000+140000</f>
        <v>4545228</v>
      </c>
      <c r="D22" s="475" t="s">
        <v>377</v>
      </c>
      <c r="E22" s="474">
        <v>661572</v>
      </c>
      <c r="G22" s="477">
        <f>+C22-B22</f>
        <v>-661572</v>
      </c>
      <c r="H22" s="478">
        <f>+E22+G22</f>
        <v>0</v>
      </c>
    </row>
    <row r="23" spans="1:8" s="470" customFormat="1" ht="17.25">
      <c r="A23" s="105" t="s">
        <v>397</v>
      </c>
      <c r="B23" s="474">
        <f>2225520+7646060</f>
        <v>9871580</v>
      </c>
      <c r="C23" s="474">
        <f>2191981+7451405</f>
        <v>9643386</v>
      </c>
      <c r="D23" s="475" t="s">
        <v>377</v>
      </c>
      <c r="E23" s="474">
        <v>228194</v>
      </c>
      <c r="G23" s="477">
        <f t="shared" si="0"/>
        <v>-228194</v>
      </c>
      <c r="H23" s="478">
        <f aca="true" t="shared" si="1" ref="H23:H35">+E23+G23</f>
        <v>0</v>
      </c>
    </row>
    <row r="24" spans="1:8" s="470" customFormat="1" ht="17.25">
      <c r="A24" s="105" t="s">
        <v>398</v>
      </c>
      <c r="B24" s="474">
        <v>771000</v>
      </c>
      <c r="C24" s="474">
        <v>699330</v>
      </c>
      <c r="D24" s="475" t="s">
        <v>377</v>
      </c>
      <c r="E24" s="474">
        <v>71670</v>
      </c>
      <c r="G24" s="477">
        <f t="shared" si="0"/>
        <v>-71670</v>
      </c>
      <c r="H24" s="478">
        <f t="shared" si="1"/>
        <v>0</v>
      </c>
    </row>
    <row r="25" spans="1:8" s="470" customFormat="1" ht="17.25">
      <c r="A25" s="105" t="s">
        <v>399</v>
      </c>
      <c r="B25" s="474">
        <v>3833700</v>
      </c>
      <c r="C25" s="474">
        <v>3210955.93</v>
      </c>
      <c r="D25" s="475" t="s">
        <v>377</v>
      </c>
      <c r="E25" s="474">
        <v>622744.07</v>
      </c>
      <c r="G25" s="477">
        <f t="shared" si="0"/>
        <v>-622744.0699999998</v>
      </c>
      <c r="H25" s="478">
        <f t="shared" si="1"/>
        <v>0</v>
      </c>
    </row>
    <row r="26" spans="1:8" s="470" customFormat="1" ht="17.25">
      <c r="A26" s="105" t="s">
        <v>400</v>
      </c>
      <c r="B26" s="474">
        <v>1595720</v>
      </c>
      <c r="C26" s="474">
        <v>1297686.97</v>
      </c>
      <c r="D26" s="475" t="s">
        <v>377</v>
      </c>
      <c r="E26" s="474">
        <v>298033.03</v>
      </c>
      <c r="G26" s="477">
        <f t="shared" si="0"/>
        <v>-298033.03</v>
      </c>
      <c r="H26" s="478">
        <f t="shared" si="1"/>
        <v>0</v>
      </c>
    </row>
    <row r="27" spans="1:8" s="470" customFormat="1" ht="17.25">
      <c r="A27" s="105" t="s">
        <v>401</v>
      </c>
      <c r="B27" s="474">
        <v>440000</v>
      </c>
      <c r="C27" s="474">
        <v>298662.48</v>
      </c>
      <c r="D27" s="475" t="s">
        <v>377</v>
      </c>
      <c r="E27" s="474">
        <v>141337.52</v>
      </c>
      <c r="G27" s="477">
        <f t="shared" si="0"/>
        <v>-141337.52000000002</v>
      </c>
      <c r="H27" s="478">
        <f t="shared" si="1"/>
        <v>0</v>
      </c>
    </row>
    <row r="28" spans="1:8" s="470" customFormat="1" ht="17.25">
      <c r="A28" s="105" t="s">
        <v>402</v>
      </c>
      <c r="B28" s="474">
        <v>1244514</v>
      </c>
      <c r="C28" s="474">
        <v>1204513.81</v>
      </c>
      <c r="D28" s="475" t="s">
        <v>377</v>
      </c>
      <c r="E28" s="474">
        <v>40000.19</v>
      </c>
      <c r="G28" s="477">
        <f t="shared" si="0"/>
        <v>-40000.189999999944</v>
      </c>
      <c r="H28" s="478">
        <f t="shared" si="1"/>
        <v>5.820766091346741E-11</v>
      </c>
    </row>
    <row r="29" spans="1:8" s="470" customFormat="1" ht="17.25">
      <c r="A29" s="105" t="s">
        <v>403</v>
      </c>
      <c r="B29" s="474">
        <v>92200</v>
      </c>
      <c r="C29" s="474">
        <v>85800</v>
      </c>
      <c r="D29" s="475" t="s">
        <v>377</v>
      </c>
      <c r="E29" s="474">
        <v>6400</v>
      </c>
      <c r="G29" s="477">
        <f t="shared" si="0"/>
        <v>-6400</v>
      </c>
      <c r="H29" s="478">
        <f t="shared" si="1"/>
        <v>0</v>
      </c>
    </row>
    <row r="30" spans="1:8" s="470" customFormat="1" ht="17.25">
      <c r="A30" s="105" t="s">
        <v>404</v>
      </c>
      <c r="B30" s="474">
        <v>2424486</v>
      </c>
      <c r="C30" s="474">
        <v>2413000</v>
      </c>
      <c r="D30" s="475" t="s">
        <v>377</v>
      </c>
      <c r="E30" s="474">
        <v>11486</v>
      </c>
      <c r="G30" s="477">
        <f t="shared" si="0"/>
        <v>-11486</v>
      </c>
      <c r="H30" s="478">
        <f t="shared" si="1"/>
        <v>0</v>
      </c>
    </row>
    <row r="31" spans="1:8" s="470" customFormat="1" ht="17.25">
      <c r="A31" s="105" t="s">
        <v>405</v>
      </c>
      <c r="B31" s="474">
        <v>20000</v>
      </c>
      <c r="C31" s="474">
        <v>18000</v>
      </c>
      <c r="D31" s="475" t="s">
        <v>377</v>
      </c>
      <c r="E31" s="474">
        <v>2000</v>
      </c>
      <c r="G31" s="477">
        <f t="shared" si="0"/>
        <v>-2000</v>
      </c>
      <c r="H31" s="478">
        <f t="shared" si="1"/>
        <v>0</v>
      </c>
    </row>
    <row r="32" spans="1:8" s="470" customFormat="1" ht="17.25" hidden="1">
      <c r="A32" s="105" t="s">
        <v>406</v>
      </c>
      <c r="B32" s="474">
        <v>0</v>
      </c>
      <c r="C32" s="474">
        <v>0</v>
      </c>
      <c r="D32" s="475" t="s">
        <v>375</v>
      </c>
      <c r="E32" s="474">
        <v>0</v>
      </c>
      <c r="G32" s="477">
        <f t="shared" si="0"/>
        <v>0</v>
      </c>
      <c r="H32" s="478">
        <f>+E32-G32</f>
        <v>0</v>
      </c>
    </row>
    <row r="33" spans="1:8" s="470" customFormat="1" ht="18" thickBot="1">
      <c r="A33" s="105" t="s">
        <v>407</v>
      </c>
      <c r="B33" s="487">
        <f>SUM(B22:B32)</f>
        <v>25500000</v>
      </c>
      <c r="C33" s="487">
        <f>SUM(C22:C32)</f>
        <v>23416563.189999998</v>
      </c>
      <c r="D33" s="488" t="s">
        <v>383</v>
      </c>
      <c r="E33" s="487">
        <f>+B33-C33</f>
        <v>2083436.8100000024</v>
      </c>
      <c r="G33" s="477">
        <f t="shared" si="0"/>
        <v>-2083436.8100000024</v>
      </c>
      <c r="H33" s="478">
        <f t="shared" si="1"/>
        <v>0</v>
      </c>
    </row>
    <row r="34" spans="1:8" s="470" customFormat="1" ht="18" thickTop="1">
      <c r="A34" s="489" t="s">
        <v>392</v>
      </c>
      <c r="B34" s="490"/>
      <c r="C34" s="479">
        <f>+C17</f>
        <v>3646763.24</v>
      </c>
      <c r="D34" s="491"/>
      <c r="E34" s="490"/>
      <c r="H34" s="478">
        <f t="shared" si="1"/>
        <v>0</v>
      </c>
    </row>
    <row r="35" spans="1:8" s="470" customFormat="1" ht="18" thickBot="1">
      <c r="A35" s="492" t="s">
        <v>408</v>
      </c>
      <c r="B35" s="490"/>
      <c r="C35" s="493">
        <f>+C33+C34</f>
        <v>27063326.43</v>
      </c>
      <c r="D35" s="491"/>
      <c r="E35" s="490"/>
      <c r="G35" s="478">
        <f>1075580+3214200+796800+144500+800</f>
        <v>5231880</v>
      </c>
      <c r="H35" s="478">
        <f t="shared" si="1"/>
        <v>5231880</v>
      </c>
    </row>
    <row r="36" spans="1:5" s="470" customFormat="1" ht="18.75" thickBot="1" thickTop="1">
      <c r="A36" s="492" t="s">
        <v>409</v>
      </c>
      <c r="B36" s="490"/>
      <c r="C36" s="494">
        <f>+C15-C33</f>
        <v>2285346.690000005</v>
      </c>
      <c r="D36" s="491"/>
      <c r="E36" s="490"/>
    </row>
    <row r="37" spans="1:8" s="470" customFormat="1" ht="18.75" thickBot="1" thickTop="1">
      <c r="A37" s="489" t="s">
        <v>410</v>
      </c>
      <c r="B37" s="495" t="s">
        <v>33</v>
      </c>
      <c r="C37" s="496"/>
      <c r="D37" s="491"/>
      <c r="E37" s="490"/>
      <c r="G37" s="470">
        <v>2217978.61</v>
      </c>
      <c r="H37" s="478">
        <f>+C36-G37</f>
        <v>67368.0800000052</v>
      </c>
    </row>
    <row r="38" spans="1:5" s="470" customFormat="1" ht="18" thickTop="1">
      <c r="A38" s="492" t="s">
        <v>411</v>
      </c>
      <c r="B38" s="497"/>
      <c r="C38" s="498"/>
      <c r="D38" s="499"/>
      <c r="E38" s="500"/>
    </row>
    <row r="39" spans="1:8" s="470" customFormat="1" ht="13.5" customHeight="1">
      <c r="A39" s="492"/>
      <c r="B39" s="497"/>
      <c r="C39" s="501"/>
      <c r="D39" s="502"/>
      <c r="E39" s="497"/>
      <c r="H39" s="470">
        <v>5231080</v>
      </c>
    </row>
    <row r="40" spans="1:5" s="470" customFormat="1" ht="17.25">
      <c r="A40" s="492"/>
      <c r="B40" s="497"/>
      <c r="C40" s="501"/>
      <c r="D40" s="502"/>
      <c r="E40" s="497"/>
    </row>
    <row r="41" spans="1:8" s="470" customFormat="1" ht="17.25">
      <c r="A41" s="503" t="s">
        <v>338</v>
      </c>
      <c r="B41" s="565" t="s">
        <v>339</v>
      </c>
      <c r="C41" s="565"/>
      <c r="D41" s="565"/>
      <c r="E41" s="565"/>
      <c r="G41" s="478">
        <f>+B24+B25+B26+B29+B30</f>
        <v>8717106</v>
      </c>
      <c r="H41" s="478"/>
    </row>
    <row r="42" spans="1:5" s="470" customFormat="1" ht="17.25">
      <c r="A42" s="503" t="s">
        <v>340</v>
      </c>
      <c r="B42" s="565" t="s">
        <v>372</v>
      </c>
      <c r="C42" s="565"/>
      <c r="D42" s="565"/>
      <c r="E42" s="565"/>
    </row>
    <row r="43" s="470" customFormat="1" ht="16.5"/>
    <row r="44" spans="1:8" s="470" customFormat="1" ht="17.25">
      <c r="A44" s="565" t="s">
        <v>342</v>
      </c>
      <c r="B44" s="565"/>
      <c r="C44" s="565"/>
      <c r="D44" s="565"/>
      <c r="E44" s="565"/>
      <c r="G44" s="478">
        <f>+B29+B30</f>
        <v>2516686</v>
      </c>
      <c r="H44" s="504"/>
    </row>
    <row r="45" spans="1:8" s="470" customFormat="1" ht="17.25">
      <c r="A45" s="565" t="s">
        <v>343</v>
      </c>
      <c r="B45" s="565"/>
      <c r="C45" s="565"/>
      <c r="D45" s="565"/>
      <c r="E45" s="565"/>
      <c r="G45" s="478">
        <f>+C30+C29</f>
        <v>2498800</v>
      </c>
      <c r="H45" s="478"/>
    </row>
    <row r="46" spans="7:8" s="470" customFormat="1" ht="16.5">
      <c r="G46" s="470">
        <v>346000</v>
      </c>
      <c r="H46" s="478"/>
    </row>
    <row r="47" s="468" customFormat="1" ht="18">
      <c r="G47" s="469">
        <f>+G45-G46</f>
        <v>2152800</v>
      </c>
    </row>
    <row r="48" s="468" customFormat="1" ht="18"/>
    <row r="49" s="468" customFormat="1" ht="18"/>
    <row r="50" s="468" customFormat="1" ht="18"/>
  </sheetData>
  <sheetProtection/>
  <mergeCells count="13">
    <mergeCell ref="C4:C5"/>
    <mergeCell ref="A19:A20"/>
    <mergeCell ref="B19:B20"/>
    <mergeCell ref="C19:C20"/>
    <mergeCell ref="B41:E41"/>
    <mergeCell ref="B42:E42"/>
    <mergeCell ref="A44:E44"/>
    <mergeCell ref="A45:E45"/>
    <mergeCell ref="A1:E1"/>
    <mergeCell ref="A2:E2"/>
    <mergeCell ref="A3:E3"/>
    <mergeCell ref="A4:A5"/>
    <mergeCell ref="B4:B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D22" sqref="D22:E23"/>
    </sheetView>
  </sheetViews>
  <sheetFormatPr defaultColWidth="9.140625" defaultRowHeight="15"/>
  <cols>
    <col min="1" max="1" width="15.7109375" style="3" customWidth="1"/>
    <col min="2" max="2" width="20.140625" style="3" customWidth="1"/>
    <col min="3" max="4" width="12.57421875" style="3" customWidth="1"/>
    <col min="5" max="5" width="19.421875" style="3" customWidth="1"/>
    <col min="6" max="7" width="16.28125" style="3" customWidth="1"/>
    <col min="8" max="8" width="12.57421875" style="3" customWidth="1"/>
    <col min="9" max="16384" width="9.00390625" style="3" customWidth="1"/>
  </cols>
  <sheetData>
    <row r="1" spans="1:8" ht="21">
      <c r="A1" s="604" t="str">
        <f>+งบแสดงฐานะการเงิน!A1</f>
        <v>องค์การบริหารส่วนตำบลโพนทอง</v>
      </c>
      <c r="B1" s="604"/>
      <c r="C1" s="604"/>
      <c r="D1" s="604"/>
      <c r="E1" s="604"/>
      <c r="F1" s="604"/>
      <c r="G1" s="604"/>
      <c r="H1" s="604"/>
    </row>
    <row r="2" spans="1:8" ht="21">
      <c r="A2" s="604" t="s">
        <v>146</v>
      </c>
      <c r="B2" s="604"/>
      <c r="C2" s="604"/>
      <c r="D2" s="604"/>
      <c r="E2" s="604"/>
      <c r="F2" s="604"/>
      <c r="G2" s="604"/>
      <c r="H2" s="604"/>
    </row>
    <row r="3" spans="1:8" ht="21">
      <c r="A3" s="604" t="str">
        <f>+'ตามแผนงาน 1'!A3:F3</f>
        <v>ตั้งแต่วันที่  1  ตุลาคม 2560  ถึง  30 กันยายน 2561</v>
      </c>
      <c r="B3" s="604"/>
      <c r="C3" s="604"/>
      <c r="D3" s="604"/>
      <c r="E3" s="604"/>
      <c r="F3" s="604"/>
      <c r="G3" s="604"/>
      <c r="H3" s="604"/>
    </row>
    <row r="5" spans="1:8" s="7" customFormat="1" ht="32.25" customHeight="1">
      <c r="A5" s="13" t="s">
        <v>94</v>
      </c>
      <c r="B5" s="13" t="s">
        <v>79</v>
      </c>
      <c r="C5" s="13" t="s">
        <v>76</v>
      </c>
      <c r="D5" s="14" t="s">
        <v>29</v>
      </c>
      <c r="E5" s="18" t="s">
        <v>147</v>
      </c>
      <c r="F5" s="17" t="s">
        <v>148</v>
      </c>
      <c r="G5" s="17" t="s">
        <v>149</v>
      </c>
      <c r="H5" s="13" t="s">
        <v>68</v>
      </c>
    </row>
    <row r="6" spans="1:8" ht="21">
      <c r="A6" s="8" t="s">
        <v>96</v>
      </c>
      <c r="B6" s="8" t="s">
        <v>97</v>
      </c>
      <c r="C6" s="8"/>
      <c r="D6" s="10"/>
      <c r="E6" s="10"/>
      <c r="F6" s="10"/>
      <c r="G6" s="10"/>
      <c r="H6" s="389">
        <f>SUM(E6:G6)</f>
        <v>0</v>
      </c>
    </row>
    <row r="7" spans="1:8" ht="21">
      <c r="A7" s="9"/>
      <c r="B7" s="9" t="s">
        <v>98</v>
      </c>
      <c r="C7" s="9"/>
      <c r="D7" s="11"/>
      <c r="E7" s="11"/>
      <c r="F7" s="11"/>
      <c r="G7" s="11"/>
      <c r="H7" s="390">
        <f aca="true" t="shared" si="0" ref="H7:H16">SUM(E7:G7)</f>
        <v>0</v>
      </c>
    </row>
    <row r="8" spans="1:8" ht="21">
      <c r="A8" s="9" t="s">
        <v>99</v>
      </c>
      <c r="B8" s="16" t="s">
        <v>45</v>
      </c>
      <c r="C8" s="9"/>
      <c r="D8" s="11"/>
      <c r="E8" s="11"/>
      <c r="F8" s="11"/>
      <c r="G8" s="11"/>
      <c r="H8" s="390">
        <f t="shared" si="0"/>
        <v>0</v>
      </c>
    </row>
    <row r="9" spans="1:8" ht="21">
      <c r="A9" s="9"/>
      <c r="B9" s="16" t="s">
        <v>46</v>
      </c>
      <c r="C9" s="9"/>
      <c r="D9" s="11"/>
      <c r="E9" s="11"/>
      <c r="F9" s="11"/>
      <c r="G9" s="11"/>
      <c r="H9" s="390">
        <f t="shared" si="0"/>
        <v>0</v>
      </c>
    </row>
    <row r="10" spans="1:8" ht="21">
      <c r="A10" s="9"/>
      <c r="B10" s="16" t="s">
        <v>47</v>
      </c>
      <c r="C10" s="9"/>
      <c r="D10" s="11"/>
      <c r="E10" s="11"/>
      <c r="F10" s="11"/>
      <c r="G10" s="11"/>
      <c r="H10" s="390">
        <f t="shared" si="0"/>
        <v>0</v>
      </c>
    </row>
    <row r="11" spans="1:8" ht="21">
      <c r="A11" s="9"/>
      <c r="B11" s="16" t="s">
        <v>100</v>
      </c>
      <c r="C11" s="9"/>
      <c r="D11" s="11"/>
      <c r="E11" s="11"/>
      <c r="F11" s="11"/>
      <c r="G11" s="11"/>
      <c r="H11" s="390">
        <f t="shared" si="0"/>
        <v>0</v>
      </c>
    </row>
    <row r="12" spans="1:8" ht="21">
      <c r="A12" s="9" t="s">
        <v>102</v>
      </c>
      <c r="B12" s="16" t="s">
        <v>101</v>
      </c>
      <c r="C12" s="16"/>
      <c r="D12" s="11"/>
      <c r="E12" s="11"/>
      <c r="F12" s="11"/>
      <c r="G12" s="11"/>
      <c r="H12" s="390">
        <f t="shared" si="0"/>
        <v>0</v>
      </c>
    </row>
    <row r="13" spans="1:8" ht="21">
      <c r="A13" s="9"/>
      <c r="B13" s="16" t="s">
        <v>50</v>
      </c>
      <c r="C13" s="16"/>
      <c r="D13" s="11"/>
      <c r="E13" s="11"/>
      <c r="F13" s="11"/>
      <c r="G13" s="11"/>
      <c r="H13" s="390">
        <f t="shared" si="0"/>
        <v>0</v>
      </c>
    </row>
    <row r="14" spans="1:8" ht="21">
      <c r="A14" s="88"/>
      <c r="B14" s="91" t="s">
        <v>50</v>
      </c>
      <c r="C14" s="88"/>
      <c r="D14" s="11"/>
      <c r="E14" s="11"/>
      <c r="F14" s="11"/>
      <c r="G14" s="11"/>
      <c r="H14" s="390">
        <f t="shared" si="0"/>
        <v>0</v>
      </c>
    </row>
    <row r="15" spans="1:8" ht="21">
      <c r="A15" s="9" t="s">
        <v>103</v>
      </c>
      <c r="B15" s="16" t="s">
        <v>48</v>
      </c>
      <c r="C15" s="16"/>
      <c r="D15" s="11"/>
      <c r="E15" s="11"/>
      <c r="F15" s="11"/>
      <c r="G15" s="11"/>
      <c r="H15" s="390">
        <f t="shared" si="0"/>
        <v>0</v>
      </c>
    </row>
    <row r="16" spans="1:8" ht="21">
      <c r="A16" s="9" t="s">
        <v>104</v>
      </c>
      <c r="B16" s="16" t="s">
        <v>28</v>
      </c>
      <c r="C16" s="16"/>
      <c r="D16" s="11"/>
      <c r="E16" s="11"/>
      <c r="F16" s="11"/>
      <c r="G16" s="11"/>
      <c r="H16" s="391">
        <f t="shared" si="0"/>
        <v>0</v>
      </c>
    </row>
    <row r="17" spans="1:8" ht="21.75" thickBot="1">
      <c r="A17" s="603" t="s">
        <v>68</v>
      </c>
      <c r="B17" s="603"/>
      <c r="C17" s="603"/>
      <c r="D17" s="82">
        <f>SUM(D6:D16)</f>
        <v>0</v>
      </c>
      <c r="E17" s="82">
        <f>SUM(E6:E16)</f>
        <v>0</v>
      </c>
      <c r="F17" s="82">
        <f>SUM(F6:F16)</f>
        <v>0</v>
      </c>
      <c r="G17" s="82">
        <f>SUM(G6:G16)</f>
        <v>0</v>
      </c>
      <c r="H17" s="82">
        <f>SUM(H6:H16)</f>
        <v>0</v>
      </c>
    </row>
    <row r="18" ht="21.75" thickTop="1"/>
    <row r="19" ht="21">
      <c r="A19" s="6" t="s">
        <v>95</v>
      </c>
    </row>
    <row r="22" spans="1:8" ht="21">
      <c r="A22" s="630" t="s">
        <v>338</v>
      </c>
      <c r="B22" s="630"/>
      <c r="D22" s="630" t="s">
        <v>339</v>
      </c>
      <c r="E22" s="630"/>
      <c r="F22" s="2"/>
      <c r="G22" s="590" t="s">
        <v>342</v>
      </c>
      <c r="H22" s="590"/>
    </row>
    <row r="23" spans="1:8" ht="21">
      <c r="A23" s="630" t="s">
        <v>340</v>
      </c>
      <c r="B23" s="630"/>
      <c r="D23" s="630" t="s">
        <v>372</v>
      </c>
      <c r="E23" s="630"/>
      <c r="F23" s="2"/>
      <c r="G23" s="590" t="s">
        <v>705</v>
      </c>
      <c r="H23" s="590"/>
    </row>
  </sheetData>
  <sheetProtection/>
  <mergeCells count="10">
    <mergeCell ref="D22:E22"/>
    <mergeCell ref="D23:E23"/>
    <mergeCell ref="A1:H1"/>
    <mergeCell ref="A2:H2"/>
    <mergeCell ref="A3:H3"/>
    <mergeCell ref="A17:C17"/>
    <mergeCell ref="A22:B22"/>
    <mergeCell ref="A23:B23"/>
    <mergeCell ref="G22:H22"/>
    <mergeCell ref="G23:H23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S29"/>
  <sheetViews>
    <sheetView zoomScaleSheetLayoutView="80" zoomScalePageLayoutView="0" workbookViewId="0" topLeftCell="A1">
      <selection activeCell="A24" sqref="A24"/>
    </sheetView>
  </sheetViews>
  <sheetFormatPr defaultColWidth="9.140625" defaultRowHeight="15"/>
  <cols>
    <col min="1" max="1" width="12.00390625" style="1" customWidth="1"/>
    <col min="2" max="2" width="22.140625" style="1" customWidth="1"/>
    <col min="3" max="3" width="10.140625" style="1" customWidth="1"/>
    <col min="4" max="4" width="13.421875" style="1" customWidth="1"/>
    <col min="5" max="5" width="12.421875" style="1" customWidth="1"/>
    <col min="6" max="6" width="12.140625" style="1" customWidth="1"/>
    <col min="7" max="7" width="12.421875" style="1" customWidth="1"/>
    <col min="8" max="8" width="12.7109375" style="1" customWidth="1"/>
    <col min="9" max="9" width="14.421875" style="1" customWidth="1"/>
    <col min="10" max="10" width="11.7109375" style="1" customWidth="1"/>
    <col min="11" max="11" width="12.57421875" style="1" customWidth="1"/>
    <col min="12" max="12" width="12.00390625" style="1" customWidth="1"/>
    <col min="13" max="13" width="12.57421875" style="1" customWidth="1"/>
    <col min="14" max="14" width="9.00390625" style="1" customWidth="1"/>
    <col min="15" max="15" width="12.57421875" style="1" customWidth="1"/>
    <col min="16" max="16" width="13.28125" style="1" customWidth="1"/>
    <col min="17" max="17" width="9.00390625" style="1" customWidth="1"/>
    <col min="18" max="18" width="12.140625" style="1" customWidth="1"/>
    <col min="19" max="19" width="9.57421875" style="1" bestFit="1" customWidth="1"/>
    <col min="20" max="16384" width="9.00390625" style="1" customWidth="1"/>
  </cols>
  <sheetData>
    <row r="1" spans="1:16" ht="19.5">
      <c r="A1" s="632" t="str">
        <f>+งบแสดงฐานะการเงิน!A1</f>
        <v>องค์การบริหารส่วนตำบลโพนทอง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  <c r="O1" s="632"/>
      <c r="P1" s="632"/>
    </row>
    <row r="2" spans="1:16" ht="19.5">
      <c r="A2" s="632" t="s">
        <v>150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  <c r="N2" s="632"/>
      <c r="O2" s="632"/>
      <c r="P2" s="632"/>
    </row>
    <row r="3" spans="1:16" ht="19.5">
      <c r="A3" s="632" t="str">
        <f>+'ตามแผนงาน 1'!A3:F3</f>
        <v>ตั้งแต่วันที่  1  ตุลาคม 2560  ถึง  30 กันยายน 2561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2"/>
      <c r="P3" s="632"/>
    </row>
    <row r="5" spans="1:16" ht="19.5">
      <c r="A5" s="631" t="s">
        <v>94</v>
      </c>
      <c r="B5" s="631" t="s">
        <v>79</v>
      </c>
      <c r="C5" s="631" t="s">
        <v>76</v>
      </c>
      <c r="D5" s="631" t="s">
        <v>77</v>
      </c>
      <c r="E5" s="631"/>
      <c r="F5" s="631"/>
      <c r="G5" s="631"/>
      <c r="H5" s="631"/>
      <c r="I5" s="631"/>
      <c r="J5" s="631"/>
      <c r="K5" s="631"/>
      <c r="L5" s="631"/>
      <c r="M5" s="631"/>
      <c r="N5" s="631"/>
      <c r="O5" s="631"/>
      <c r="P5" s="631"/>
    </row>
    <row r="6" spans="1:16" s="24" customFormat="1" ht="97.5">
      <c r="A6" s="631"/>
      <c r="B6" s="631"/>
      <c r="C6" s="631"/>
      <c r="D6" s="20" t="s">
        <v>151</v>
      </c>
      <c r="E6" s="20" t="s">
        <v>152</v>
      </c>
      <c r="F6" s="21" t="s">
        <v>153</v>
      </c>
      <c r="G6" s="20" t="s">
        <v>174</v>
      </c>
      <c r="H6" s="20" t="s">
        <v>154</v>
      </c>
      <c r="I6" s="20" t="s">
        <v>155</v>
      </c>
      <c r="J6" s="20" t="s">
        <v>156</v>
      </c>
      <c r="K6" s="20" t="s">
        <v>157</v>
      </c>
      <c r="L6" s="20" t="s">
        <v>158</v>
      </c>
      <c r="M6" s="20" t="s">
        <v>159</v>
      </c>
      <c r="N6" s="20" t="s">
        <v>160</v>
      </c>
      <c r="O6" s="22" t="s">
        <v>49</v>
      </c>
      <c r="P6" s="69" t="s">
        <v>68</v>
      </c>
    </row>
    <row r="7" spans="1:16" s="54" customFormat="1" ht="27.75" customHeight="1">
      <c r="A7" s="249" t="s">
        <v>33</v>
      </c>
      <c r="B7" s="250"/>
      <c r="C7" s="26"/>
      <c r="D7" s="64"/>
      <c r="E7" s="64"/>
      <c r="F7" s="65"/>
      <c r="G7" s="64"/>
      <c r="H7" s="64"/>
      <c r="I7" s="64"/>
      <c r="J7" s="64"/>
      <c r="K7" s="64"/>
      <c r="L7" s="64"/>
      <c r="M7" s="64"/>
      <c r="N7" s="64"/>
      <c r="O7" s="64"/>
      <c r="P7" s="30"/>
    </row>
    <row r="8" spans="1:16" s="54" customFormat="1" ht="21">
      <c r="A8" s="251" t="s">
        <v>96</v>
      </c>
      <c r="B8" s="251" t="s">
        <v>279</v>
      </c>
      <c r="C8" s="26" t="s">
        <v>575</v>
      </c>
      <c r="D8" s="66">
        <f>+'ตามแผนงาน 2'!H6</f>
        <v>2191981</v>
      </c>
      <c r="E8" s="66">
        <f>+'ตามแผนงาน 3'!H6</f>
        <v>0</v>
      </c>
      <c r="F8" s="67">
        <f>+'ตามแผนงาน 4'!I6</f>
        <v>0</v>
      </c>
      <c r="G8" s="66">
        <f>+'ตามแผนงาน 5'!I6</f>
        <v>0</v>
      </c>
      <c r="H8" s="66">
        <f>+'ตามแผนงาน 6'!G6</f>
        <v>0</v>
      </c>
      <c r="I8" s="66">
        <f>+'ตามแผนงาน 7'!J6</f>
        <v>0</v>
      </c>
      <c r="J8" s="66">
        <f>+'ตามแผนงาน 8'!G6</f>
        <v>0</v>
      </c>
      <c r="K8" s="66">
        <f>+'ตามแผนงาน 9'!I6</f>
        <v>0</v>
      </c>
      <c r="L8" s="66"/>
      <c r="M8" s="66">
        <f>+'ตามแผนงาน 11'!G6</f>
        <v>0</v>
      </c>
      <c r="N8" s="66"/>
      <c r="O8" s="66"/>
      <c r="P8" s="30">
        <f>SUM(D8:O8)</f>
        <v>2191981</v>
      </c>
    </row>
    <row r="9" spans="1:16" ht="21">
      <c r="A9" s="252"/>
      <c r="B9" s="252" t="s">
        <v>280</v>
      </c>
      <c r="C9" s="26" t="s">
        <v>575</v>
      </c>
      <c r="D9" s="66">
        <f>+'ตามแผนงาน 2'!H7</f>
        <v>3917285</v>
      </c>
      <c r="E9" s="66">
        <f>+'ตามแผนงาน 3'!H7</f>
        <v>0</v>
      </c>
      <c r="F9" s="67">
        <f>+'ตามแผนงาน 4'!I7</f>
        <v>1707820</v>
      </c>
      <c r="G9" s="66">
        <f>+'ตามแผนงาน 5'!I7</f>
        <v>711000</v>
      </c>
      <c r="H9" s="66">
        <f>+'ตามแผนงาน 6'!G7</f>
        <v>483120</v>
      </c>
      <c r="I9" s="66">
        <f>+'ตามแผนงาน 7'!J7</f>
        <v>632180</v>
      </c>
      <c r="J9" s="66">
        <f>+'ตามแผนงาน 8'!G7</f>
        <v>0</v>
      </c>
      <c r="K9" s="66">
        <f>+'ตามแผนงาน 9'!I7</f>
        <v>0</v>
      </c>
      <c r="L9" s="66">
        <f>+'ตามแผนงาน 10'!G7</f>
        <v>0</v>
      </c>
      <c r="M9" s="66">
        <f>+'ตามแผนงาน 11'!G7</f>
        <v>0</v>
      </c>
      <c r="N9" s="66">
        <f>+'ตามแผนงาน 12'!H7</f>
        <v>0</v>
      </c>
      <c r="O9" s="30"/>
      <c r="P9" s="30">
        <f aca="true" t="shared" si="0" ref="P9:P19">SUM(D9:O9)</f>
        <v>7451405</v>
      </c>
    </row>
    <row r="10" spans="1:16" ht="21">
      <c r="A10" s="252" t="s">
        <v>281</v>
      </c>
      <c r="B10" s="252" t="s">
        <v>45</v>
      </c>
      <c r="C10" s="26" t="s">
        <v>575</v>
      </c>
      <c r="D10" s="66">
        <f>+'ตามแผนงาน 2'!H8</f>
        <v>381400</v>
      </c>
      <c r="E10" s="66">
        <f>+'ตามแผนงาน 3'!H8</f>
        <v>0</v>
      </c>
      <c r="F10" s="67">
        <f>+'ตามแผนงาน 4'!I8</f>
        <v>155330</v>
      </c>
      <c r="G10" s="66">
        <f>+'ตามแผนงาน 5'!I8</f>
        <v>60460</v>
      </c>
      <c r="H10" s="66">
        <f>+'ตามแผนงาน 6'!G8</f>
        <v>42040</v>
      </c>
      <c r="I10" s="66">
        <f>+'ตามแผนงาน 7'!J8</f>
        <v>60100</v>
      </c>
      <c r="J10" s="66">
        <f>+'ตามแผนงาน 8'!G8</f>
        <v>0</v>
      </c>
      <c r="K10" s="66">
        <f>+'ตามแผนงาน 9'!I8</f>
        <v>0</v>
      </c>
      <c r="L10" s="66">
        <f>+'ตามแผนงาน 10'!G8</f>
        <v>0</v>
      </c>
      <c r="M10" s="66">
        <f>+'ตามแผนงาน 11'!G8</f>
        <v>0</v>
      </c>
      <c r="N10" s="66">
        <f>+'ตามแผนงาน 12'!H8</f>
        <v>0</v>
      </c>
      <c r="O10" s="30"/>
      <c r="P10" s="30">
        <f t="shared" si="0"/>
        <v>699330</v>
      </c>
    </row>
    <row r="11" spans="1:16" ht="21">
      <c r="A11" s="252"/>
      <c r="B11" s="252" t="s">
        <v>46</v>
      </c>
      <c r="C11" s="26" t="s">
        <v>575</v>
      </c>
      <c r="D11" s="66">
        <f>+'ตามแผนงาน 2'!H9</f>
        <v>631848.22</v>
      </c>
      <c r="E11" s="66">
        <f>+'ตามแผนงาน 3'!H9</f>
        <v>31250</v>
      </c>
      <c r="F11" s="67">
        <f>+'ตามแผนงาน 4'!I9</f>
        <v>904365</v>
      </c>
      <c r="G11" s="66">
        <f>+'ตามแผนงาน 5'!I9</f>
        <v>189185</v>
      </c>
      <c r="H11" s="66">
        <f>+'ตามแผนงาน 6'!G9</f>
        <v>24264</v>
      </c>
      <c r="I11" s="66">
        <f>+'ตามแผนงาน 7'!J9</f>
        <v>766039.71</v>
      </c>
      <c r="J11" s="66">
        <f>+'ตามแผนงาน 8'!G9</f>
        <v>206654</v>
      </c>
      <c r="K11" s="66">
        <f>+'ตามแผนงาน 9'!I9</f>
        <v>350690</v>
      </c>
      <c r="L11" s="66">
        <f>+'ตามแผนงาน 10'!G9</f>
        <v>0</v>
      </c>
      <c r="M11" s="66">
        <f>+'ตามแผนงาน 11'!G9</f>
        <v>106660</v>
      </c>
      <c r="N11" s="66">
        <f>+'ตามแผนงาน 12'!H9</f>
        <v>0</v>
      </c>
      <c r="O11" s="30"/>
      <c r="P11" s="30">
        <f t="shared" si="0"/>
        <v>3210955.9299999997</v>
      </c>
    </row>
    <row r="12" spans="1:16" ht="21">
      <c r="A12" s="252"/>
      <c r="B12" s="252" t="s">
        <v>47</v>
      </c>
      <c r="C12" s="26" t="s">
        <v>575</v>
      </c>
      <c r="D12" s="66">
        <f>+'ตามแผนงาน 2'!H10</f>
        <v>321760.55000000005</v>
      </c>
      <c r="E12" s="66">
        <f>+'ตามแผนงาน 3'!H10</f>
        <v>0</v>
      </c>
      <c r="F12" s="67">
        <f>+'ตามแผนงาน 4'!I10</f>
        <v>813504.82</v>
      </c>
      <c r="G12" s="66">
        <f>+'ตามแผนงาน 5'!I10</f>
        <v>18630</v>
      </c>
      <c r="H12" s="66">
        <f>+'ตามแผนงาน 6'!G10</f>
        <v>9116</v>
      </c>
      <c r="I12" s="66">
        <f>+'ตามแผนงาน 7'!J10</f>
        <v>104675.6</v>
      </c>
      <c r="J12" s="66">
        <f>+'ตามแผนงาน 8'!G10</f>
        <v>0</v>
      </c>
      <c r="K12" s="66">
        <f>+'ตามแผนงาน 9'!I10</f>
        <v>30000</v>
      </c>
      <c r="L12" s="66">
        <f>+'ตามแผนงาน 10'!G10</f>
        <v>0</v>
      </c>
      <c r="M12" s="66">
        <f>+'ตามแผนงาน 11'!G10</f>
        <v>0</v>
      </c>
      <c r="N12" s="66">
        <f>+'ตามแผนงาน 12'!H10</f>
        <v>0</v>
      </c>
      <c r="O12" s="30"/>
      <c r="P12" s="30">
        <f t="shared" si="0"/>
        <v>1297686.9700000002</v>
      </c>
    </row>
    <row r="13" spans="1:16" ht="21">
      <c r="A13" s="252"/>
      <c r="B13" s="252" t="s">
        <v>100</v>
      </c>
      <c r="C13" s="26" t="s">
        <v>575</v>
      </c>
      <c r="D13" s="66">
        <f>+'ตามแผนงาน 2'!H11</f>
        <v>253751.64</v>
      </c>
      <c r="E13" s="66">
        <f>+'ตามแผนงาน 3'!H11</f>
        <v>0</v>
      </c>
      <c r="F13" s="67">
        <f>+'ตามแผนงาน 4'!I11</f>
        <v>44910.84</v>
      </c>
      <c r="G13" s="66">
        <f>+'ตามแผนงาน 5'!I11</f>
        <v>0</v>
      </c>
      <c r="H13" s="66">
        <f>+'ตามแผนงาน 6'!G11</f>
        <v>0</v>
      </c>
      <c r="I13" s="66">
        <f>+'ตามแผนงาน 7'!J11</f>
        <v>0</v>
      </c>
      <c r="J13" s="66">
        <f>+'ตามแผนงาน 8'!G11</f>
        <v>0</v>
      </c>
      <c r="K13" s="66">
        <f>+'ตามแผนงาน 9'!I11</f>
        <v>0</v>
      </c>
      <c r="L13" s="66">
        <f>+'ตามแผนงาน 10'!G11</f>
        <v>0</v>
      </c>
      <c r="M13" s="66">
        <f>+'ตามแผนงาน 11'!G11</f>
        <v>0</v>
      </c>
      <c r="N13" s="66">
        <f>+'ตามแผนงาน 12'!H11</f>
        <v>0</v>
      </c>
      <c r="O13" s="30"/>
      <c r="P13" s="30">
        <f t="shared" si="0"/>
        <v>298662.48</v>
      </c>
    </row>
    <row r="14" spans="1:16" ht="21">
      <c r="A14" s="252" t="s">
        <v>102</v>
      </c>
      <c r="B14" s="252" t="s">
        <v>101</v>
      </c>
      <c r="C14" s="26" t="s">
        <v>575</v>
      </c>
      <c r="D14" s="66">
        <f>+'ตามแผนงาน 2'!H12</f>
        <v>71800</v>
      </c>
      <c r="E14" s="66">
        <f>+'ตามแผนงาน 3'!H12</f>
        <v>6000</v>
      </c>
      <c r="F14" s="67">
        <f>+'ตามแผนงาน 4'!I12</f>
        <v>0</v>
      </c>
      <c r="G14" s="66">
        <f>+'ตามแผนงาน 5'!I12</f>
        <v>0</v>
      </c>
      <c r="H14" s="66">
        <f>+'ตามแผนงาน 6'!G12</f>
        <v>0</v>
      </c>
      <c r="I14" s="66">
        <f>+'ตามแผนงาน 7'!J12</f>
        <v>8000</v>
      </c>
      <c r="J14" s="66">
        <f>+'ตามแผนงาน 8'!G12</f>
        <v>0</v>
      </c>
      <c r="K14" s="66">
        <f>+'ตามแผนงาน 9'!I12</f>
        <v>0</v>
      </c>
      <c r="L14" s="66">
        <f>+'ตามแผนงาน 10'!G12</f>
        <v>0</v>
      </c>
      <c r="M14" s="66">
        <f>+'ตามแผนงาน 11'!G12</f>
        <v>0</v>
      </c>
      <c r="N14" s="66">
        <f>+'ตามแผนงาน 12'!H12</f>
        <v>0</v>
      </c>
      <c r="O14" s="30"/>
      <c r="P14" s="30">
        <f t="shared" si="0"/>
        <v>85800</v>
      </c>
    </row>
    <row r="15" spans="1:16" ht="21">
      <c r="A15" s="252"/>
      <c r="B15" s="252" t="s">
        <v>50</v>
      </c>
      <c r="C15" s="26" t="s">
        <v>575</v>
      </c>
      <c r="D15" s="66">
        <f>+'ตามแผนงาน 2'!H13</f>
        <v>0</v>
      </c>
      <c r="E15" s="66">
        <f>+'ตามแผนงาน 3'!H13</f>
        <v>0</v>
      </c>
      <c r="F15" s="67">
        <f>+'ตามแผนงาน 4'!I13</f>
        <v>61000</v>
      </c>
      <c r="G15" s="66">
        <f>+'ตามแผนงาน 5'!I13</f>
        <v>0</v>
      </c>
      <c r="H15" s="66">
        <f>+'ตามแผนงาน 6'!G13</f>
        <v>0</v>
      </c>
      <c r="I15" s="66">
        <f>+'ตามแผนงาน 7'!J13</f>
        <v>2352000</v>
      </c>
      <c r="J15" s="66">
        <f>+'ตามแผนงาน 8'!G13</f>
        <v>0</v>
      </c>
      <c r="K15" s="66">
        <f>+'ตามแผนงาน 9'!I15</f>
        <v>0</v>
      </c>
      <c r="L15" s="66">
        <f>+'ตามแผนงาน 10'!G13</f>
        <v>0</v>
      </c>
      <c r="M15" s="66">
        <f>+'ตามแผนงาน 11'!G13</f>
        <v>0</v>
      </c>
      <c r="N15" s="66">
        <f>+'ตามแผนงาน 12'!H13</f>
        <v>0</v>
      </c>
      <c r="O15" s="30"/>
      <c r="P15" s="30">
        <f t="shared" si="0"/>
        <v>2413000</v>
      </c>
    </row>
    <row r="16" spans="1:16" s="201" customFormat="1" ht="21">
      <c r="A16" s="553"/>
      <c r="B16" s="553" t="s">
        <v>50</v>
      </c>
      <c r="C16" s="554" t="s">
        <v>695</v>
      </c>
      <c r="D16" s="555">
        <f>+'ตามแผนงาน 2'!H13</f>
        <v>0</v>
      </c>
      <c r="E16" s="555">
        <f>+'ตามแผนงาน 3'!H14</f>
        <v>0</v>
      </c>
      <c r="F16" s="556">
        <f>+'ตามแผนงาน 4'!I14</f>
        <v>100000</v>
      </c>
      <c r="G16" s="555">
        <f>+'ตามแผนงาน 5'!I14</f>
        <v>0</v>
      </c>
      <c r="H16" s="555">
        <f>+'ตามแผนงาน 6'!G14</f>
        <v>0</v>
      </c>
      <c r="I16" s="555">
        <f>+'ตามแผนงาน 7'!J14</f>
        <v>3546763.24</v>
      </c>
      <c r="J16" s="555">
        <f>+'ตามแผนงาน 8'!G14</f>
        <v>0</v>
      </c>
      <c r="K16" s="555">
        <f>+'ตามแผนงาน 9'!I14</f>
        <v>0</v>
      </c>
      <c r="L16" s="555">
        <f>+'ตามแผนงาน 10'!G14</f>
        <v>0</v>
      </c>
      <c r="M16" s="555">
        <f>+'ตามแผนงาน 11'!G14</f>
        <v>0</v>
      </c>
      <c r="N16" s="555">
        <f>+'ตามแผนงาน 12'!H14</f>
        <v>0</v>
      </c>
      <c r="O16" s="557"/>
      <c r="P16" s="557">
        <f t="shared" si="0"/>
        <v>3646763.24</v>
      </c>
    </row>
    <row r="17" spans="1:16" ht="21">
      <c r="A17" s="252" t="s">
        <v>103</v>
      </c>
      <c r="B17" s="252" t="s">
        <v>48</v>
      </c>
      <c r="C17" s="26" t="s">
        <v>575</v>
      </c>
      <c r="D17" s="66">
        <f>+'ตามแผนงาน 2'!H14</f>
        <v>18000</v>
      </c>
      <c r="E17" s="66">
        <f>+'ตามแผนงาน 3'!H15</f>
        <v>0</v>
      </c>
      <c r="F17" s="67">
        <f>+'ตามแผนงาน 4'!I15</f>
        <v>0</v>
      </c>
      <c r="G17" s="66">
        <f>+'ตามแผนงาน 5'!I15</f>
        <v>0</v>
      </c>
      <c r="H17" s="66">
        <f>+'ตามแผนงาน 6'!G15</f>
        <v>0</v>
      </c>
      <c r="I17" s="66">
        <f>+'ตามแผนงาน 7'!J15</f>
        <v>0</v>
      </c>
      <c r="J17" s="66">
        <f>+'ตามแผนงาน 8'!G15</f>
        <v>0</v>
      </c>
      <c r="K17" s="66">
        <f>+'ตามแผนงาน 9'!I15</f>
        <v>0</v>
      </c>
      <c r="L17" s="66">
        <f>+'ตามแผนงาน 10'!G15</f>
        <v>0</v>
      </c>
      <c r="M17" s="66">
        <f>+'ตามแผนงาน 11'!G15</f>
        <v>0</v>
      </c>
      <c r="N17" s="66">
        <f>+'ตามแผนงาน 12'!H15</f>
        <v>0</v>
      </c>
      <c r="O17" s="30"/>
      <c r="P17" s="30">
        <f t="shared" si="0"/>
        <v>18000</v>
      </c>
    </row>
    <row r="18" spans="1:16" ht="21">
      <c r="A18" s="252" t="s">
        <v>104</v>
      </c>
      <c r="B18" s="252" t="s">
        <v>28</v>
      </c>
      <c r="C18" s="26" t="s">
        <v>575</v>
      </c>
      <c r="D18" s="66">
        <f>+'ตามแผนงาน 2'!H15</f>
        <v>15000</v>
      </c>
      <c r="E18" s="66">
        <f>+'ตามแผนงาน 3'!H16</f>
        <v>0</v>
      </c>
      <c r="F18" s="67">
        <f>+'ตามแผนงาน 4'!I16</f>
        <v>1000000</v>
      </c>
      <c r="G18" s="66">
        <f>+'ตามแผนงาน 5'!I16</f>
        <v>98000</v>
      </c>
      <c r="H18" s="66">
        <f>+'ตามแผนงาน 6'!G16</f>
        <v>0</v>
      </c>
      <c r="I18" s="66">
        <f>+'ตามแผนงาน 7'!J16</f>
        <v>29513.809999999998</v>
      </c>
      <c r="J18" s="66">
        <f>+'ตามแผนงาน 8'!G16</f>
        <v>42000</v>
      </c>
      <c r="K18" s="66">
        <f>+'ตามแผนงาน 9'!I16</f>
        <v>20000</v>
      </c>
      <c r="L18" s="66">
        <f>+'ตามแผนงาน 10'!G16</f>
        <v>0</v>
      </c>
      <c r="M18" s="66">
        <f>+'ตามแผนงาน 11'!G16</f>
        <v>0</v>
      </c>
      <c r="N18" s="66">
        <f>+'ตามแผนงาน 12'!H16</f>
        <v>0</v>
      </c>
      <c r="O18" s="30"/>
      <c r="P18" s="30">
        <f t="shared" si="0"/>
        <v>1204513.81</v>
      </c>
    </row>
    <row r="19" spans="1:16" ht="21">
      <c r="A19" s="252" t="s">
        <v>49</v>
      </c>
      <c r="B19" s="252" t="s">
        <v>49</v>
      </c>
      <c r="C19" s="26" t="s">
        <v>575</v>
      </c>
      <c r="D19" s="66">
        <v>0</v>
      </c>
      <c r="E19" s="66">
        <v>0</v>
      </c>
      <c r="F19" s="67">
        <v>0</v>
      </c>
      <c r="G19" s="66">
        <v>0</v>
      </c>
      <c r="H19" s="66">
        <v>0</v>
      </c>
      <c r="I19" s="66">
        <v>0</v>
      </c>
      <c r="J19" s="66">
        <f>+'ตามแผนงาน 8'!G19</f>
        <v>0</v>
      </c>
      <c r="K19" s="66">
        <v>0</v>
      </c>
      <c r="L19" s="66">
        <f>+'ตามแผนงาน 10'!G17</f>
        <v>0</v>
      </c>
      <c r="M19" s="66">
        <v>0</v>
      </c>
      <c r="N19" s="66">
        <f>+'ตามแผนงาน 12'!H17</f>
        <v>0</v>
      </c>
      <c r="O19" s="30">
        <f>+'ตามแผนงาน 1'!F7</f>
        <v>4545228</v>
      </c>
      <c r="P19" s="30">
        <f t="shared" si="0"/>
        <v>4545228</v>
      </c>
    </row>
    <row r="20" spans="1:16" ht="21">
      <c r="A20" s="253"/>
      <c r="B20" s="253"/>
      <c r="C20" s="26"/>
      <c r="D20" s="31"/>
      <c r="E20" s="31"/>
      <c r="F20" s="31"/>
      <c r="G20" s="31"/>
      <c r="H20" s="31"/>
      <c r="I20" s="31"/>
      <c r="J20" s="31"/>
      <c r="K20" s="31"/>
      <c r="L20" s="31"/>
      <c r="M20" s="30"/>
      <c r="N20" s="30"/>
      <c r="O20" s="30"/>
      <c r="P20" s="30"/>
    </row>
    <row r="21" spans="1:19" ht="21.75" thickBot="1">
      <c r="A21" s="633" t="s">
        <v>68</v>
      </c>
      <c r="B21" s="633"/>
      <c r="C21" s="633"/>
      <c r="D21" s="12">
        <f>SUM(D8:D20)</f>
        <v>7802826.409999999</v>
      </c>
      <c r="E21" s="12">
        <f aca="true" t="shared" si="1" ref="E21:O21">SUM(E8:E20)</f>
        <v>37250</v>
      </c>
      <c r="F21" s="12">
        <f t="shared" si="1"/>
        <v>4786930.66</v>
      </c>
      <c r="G21" s="12">
        <f t="shared" si="1"/>
        <v>1077275</v>
      </c>
      <c r="H21" s="12">
        <f t="shared" si="1"/>
        <v>558540</v>
      </c>
      <c r="I21" s="12">
        <f t="shared" si="1"/>
        <v>7499272.36</v>
      </c>
      <c r="J21" s="12">
        <f t="shared" si="1"/>
        <v>248654</v>
      </c>
      <c r="K21" s="12">
        <f t="shared" si="1"/>
        <v>400690</v>
      </c>
      <c r="L21" s="12">
        <f t="shared" si="1"/>
        <v>0</v>
      </c>
      <c r="M21" s="12">
        <f t="shared" si="1"/>
        <v>106660</v>
      </c>
      <c r="N21" s="12">
        <f t="shared" si="1"/>
        <v>0</v>
      </c>
      <c r="O21" s="12">
        <f t="shared" si="1"/>
        <v>4545228</v>
      </c>
      <c r="P21" s="12">
        <f>SUM(P7:P20)</f>
        <v>27063326.430000003</v>
      </c>
      <c r="R21" s="1">
        <v>27063326.43</v>
      </c>
      <c r="S21" s="392">
        <f>+P21-R21</f>
        <v>0</v>
      </c>
    </row>
    <row r="22" ht="20.25" thickTop="1"/>
    <row r="23" ht="19.5">
      <c r="A23" s="28" t="s">
        <v>95</v>
      </c>
    </row>
    <row r="25" spans="1:16" s="3" customFormat="1" ht="2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8" spans="2:15" ht="21">
      <c r="B28" s="630" t="s">
        <v>338</v>
      </c>
      <c r="C28" s="630"/>
      <c r="E28" s="2"/>
      <c r="F28" s="2"/>
      <c r="G28" s="630" t="s">
        <v>339</v>
      </c>
      <c r="H28" s="630"/>
      <c r="I28" s="2"/>
      <c r="J28" s="2"/>
      <c r="M28" s="590" t="s">
        <v>342</v>
      </c>
      <c r="N28" s="590"/>
      <c r="O28" s="590"/>
    </row>
    <row r="29" spans="2:15" ht="21">
      <c r="B29" s="630" t="s">
        <v>340</v>
      </c>
      <c r="C29" s="630"/>
      <c r="E29" s="2"/>
      <c r="F29" s="2"/>
      <c r="G29" s="630" t="s">
        <v>372</v>
      </c>
      <c r="H29" s="630"/>
      <c r="I29" s="2"/>
      <c r="J29" s="2"/>
      <c r="M29" s="590" t="s">
        <v>705</v>
      </c>
      <c r="N29" s="590"/>
      <c r="O29" s="590"/>
    </row>
  </sheetData>
  <sheetProtection/>
  <mergeCells count="14">
    <mergeCell ref="C5:C6"/>
    <mergeCell ref="D5:P5"/>
    <mergeCell ref="A1:P1"/>
    <mergeCell ref="A2:P2"/>
    <mergeCell ref="A3:P3"/>
    <mergeCell ref="A21:C21"/>
    <mergeCell ref="A5:A6"/>
    <mergeCell ref="B5:B6"/>
    <mergeCell ref="G28:H28"/>
    <mergeCell ref="G29:H29"/>
    <mergeCell ref="M28:O28"/>
    <mergeCell ref="M29:O29"/>
    <mergeCell ref="B28:C28"/>
    <mergeCell ref="B29:C29"/>
  </mergeCells>
  <printOptions/>
  <pageMargins left="0.31496062992125984" right="0" top="0.7480314960629921" bottom="0.35433070866141736" header="0.31496062992125984" footer="0.31496062992125984"/>
  <pageSetup horizontalDpi="600" verticalDpi="600" orientation="landscape" paperSize="9" scale="6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7">
      <selection activeCell="A22" sqref="A22:IV23"/>
    </sheetView>
  </sheetViews>
  <sheetFormatPr defaultColWidth="9.140625" defaultRowHeight="15"/>
  <cols>
    <col min="1" max="1" width="11.00390625" style="1" customWidth="1"/>
    <col min="2" max="2" width="20.28125" style="1" customWidth="1"/>
    <col min="3" max="3" width="11.00390625" style="1" customWidth="1"/>
    <col min="4" max="4" width="9.28125" style="1" customWidth="1"/>
    <col min="5" max="5" width="9.421875" style="1" customWidth="1"/>
    <col min="6" max="7" width="10.421875" style="1" customWidth="1"/>
    <col min="8" max="8" width="12.28125" style="1" customWidth="1"/>
    <col min="9" max="9" width="11.00390625" style="1" customWidth="1"/>
    <col min="10" max="13" width="11.28125" style="1" customWidth="1"/>
    <col min="14" max="14" width="11.57421875" style="1" customWidth="1"/>
    <col min="15" max="15" width="12.57421875" style="1" customWidth="1"/>
    <col min="16" max="16384" width="9.00390625" style="1" customWidth="1"/>
  </cols>
  <sheetData>
    <row r="1" spans="1:15" ht="19.5">
      <c r="A1" s="632" t="str">
        <f>+งบแสดงฐานะการเงิน!A1</f>
        <v>องค์การบริหารส่วนตำบลโพนทอง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  <c r="O1" s="632"/>
    </row>
    <row r="2" spans="1:15" ht="19.5">
      <c r="A2" s="632" t="s">
        <v>162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  <c r="N2" s="632"/>
      <c r="O2" s="632"/>
    </row>
    <row r="3" spans="1:15" ht="19.5">
      <c r="A3" s="632" t="str">
        <f>+'ตามแผนงาน 1'!A3:F3</f>
        <v>ตั้งแต่วันที่  1  ตุลาคม 2560  ถึง  30 กันยายน 2561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2"/>
    </row>
    <row r="5" spans="1:15" ht="19.5">
      <c r="A5" s="631" t="s">
        <v>94</v>
      </c>
      <c r="B5" s="631" t="s">
        <v>79</v>
      </c>
      <c r="C5" s="631" t="s">
        <v>77</v>
      </c>
      <c r="D5" s="631"/>
      <c r="E5" s="631"/>
      <c r="F5" s="631"/>
      <c r="G5" s="631"/>
      <c r="H5" s="631"/>
      <c r="I5" s="631"/>
      <c r="J5" s="631"/>
      <c r="K5" s="631"/>
      <c r="L5" s="631"/>
      <c r="M5" s="631"/>
      <c r="N5" s="631"/>
      <c r="O5" s="631"/>
    </row>
    <row r="6" spans="1:15" s="24" customFormat="1" ht="97.5">
      <c r="A6" s="631"/>
      <c r="B6" s="631"/>
      <c r="C6" s="20" t="s">
        <v>151</v>
      </c>
      <c r="D6" s="20" t="s">
        <v>152</v>
      </c>
      <c r="E6" s="21" t="s">
        <v>153</v>
      </c>
      <c r="F6" s="20" t="s">
        <v>174</v>
      </c>
      <c r="G6" s="20" t="s">
        <v>154</v>
      </c>
      <c r="H6" s="20" t="s">
        <v>155</v>
      </c>
      <c r="I6" s="20" t="s">
        <v>156</v>
      </c>
      <c r="J6" s="20" t="s">
        <v>157</v>
      </c>
      <c r="K6" s="20" t="s">
        <v>158</v>
      </c>
      <c r="L6" s="20" t="s">
        <v>159</v>
      </c>
      <c r="M6" s="20" t="s">
        <v>160</v>
      </c>
      <c r="N6" s="22" t="s">
        <v>49</v>
      </c>
      <c r="O6" s="23" t="s">
        <v>68</v>
      </c>
    </row>
    <row r="7" spans="1:15" s="54" customFormat="1" ht="19.5">
      <c r="A7" s="61" t="s">
        <v>49</v>
      </c>
      <c r="B7" s="61" t="s">
        <v>49</v>
      </c>
      <c r="C7" s="97"/>
      <c r="D7" s="97"/>
      <c r="E7" s="98"/>
      <c r="F7" s="97"/>
      <c r="G7" s="97"/>
      <c r="H7" s="62"/>
      <c r="I7" s="62"/>
      <c r="J7" s="62"/>
      <c r="K7" s="62"/>
      <c r="L7" s="62"/>
      <c r="M7" s="62"/>
      <c r="N7" s="62"/>
      <c r="O7" s="63">
        <f>SUM(C7:N7)</f>
        <v>0</v>
      </c>
    </row>
    <row r="8" spans="1:15" ht="19.5">
      <c r="A8" s="26" t="s">
        <v>96</v>
      </c>
      <c r="B8" s="26" t="s">
        <v>97</v>
      </c>
      <c r="C8" s="44"/>
      <c r="D8" s="44"/>
      <c r="E8" s="44"/>
      <c r="F8" s="44"/>
      <c r="G8" s="44"/>
      <c r="H8" s="30"/>
      <c r="I8" s="30"/>
      <c r="J8" s="30"/>
      <c r="K8" s="30"/>
      <c r="L8" s="30"/>
      <c r="M8" s="30"/>
      <c r="N8" s="30"/>
      <c r="O8" s="30">
        <f>SUM(C8:N8)</f>
        <v>0</v>
      </c>
    </row>
    <row r="9" spans="1:15" ht="19.5">
      <c r="A9" s="26"/>
      <c r="B9" s="26" t="s">
        <v>98</v>
      </c>
      <c r="C9" s="44"/>
      <c r="D9" s="44"/>
      <c r="E9" s="44"/>
      <c r="F9" s="44"/>
      <c r="G9" s="44"/>
      <c r="H9" s="30"/>
      <c r="I9" s="30"/>
      <c r="J9" s="30"/>
      <c r="K9" s="30"/>
      <c r="L9" s="30"/>
      <c r="M9" s="30"/>
      <c r="N9" s="30"/>
      <c r="O9" s="30">
        <f aca="true" t="shared" si="0" ref="O9:O17">SUM(C9:N9)</f>
        <v>0</v>
      </c>
    </row>
    <row r="10" spans="1:15" ht="19.5">
      <c r="A10" s="26" t="s">
        <v>99</v>
      </c>
      <c r="B10" s="27" t="s">
        <v>45</v>
      </c>
      <c r="C10" s="44"/>
      <c r="D10" s="44"/>
      <c r="E10" s="44"/>
      <c r="F10" s="44"/>
      <c r="G10" s="44"/>
      <c r="H10" s="30"/>
      <c r="I10" s="30"/>
      <c r="J10" s="30"/>
      <c r="K10" s="30"/>
      <c r="L10" s="30"/>
      <c r="M10" s="30"/>
      <c r="N10" s="30"/>
      <c r="O10" s="30">
        <f t="shared" si="0"/>
        <v>0</v>
      </c>
    </row>
    <row r="11" spans="1:15" ht="19.5">
      <c r="A11" s="26"/>
      <c r="B11" s="27" t="s">
        <v>46</v>
      </c>
      <c r="C11" s="44"/>
      <c r="D11" s="44"/>
      <c r="E11" s="44"/>
      <c r="F11" s="44"/>
      <c r="G11" s="44"/>
      <c r="H11" s="30"/>
      <c r="I11" s="30"/>
      <c r="J11" s="30"/>
      <c r="K11" s="30"/>
      <c r="L11" s="30"/>
      <c r="M11" s="30"/>
      <c r="N11" s="30"/>
      <c r="O11" s="30">
        <f t="shared" si="0"/>
        <v>0</v>
      </c>
    </row>
    <row r="12" spans="1:15" ht="19.5">
      <c r="A12" s="26"/>
      <c r="B12" s="27" t="s">
        <v>47</v>
      </c>
      <c r="C12" s="44"/>
      <c r="D12" s="44"/>
      <c r="E12" s="44"/>
      <c r="F12" s="44"/>
      <c r="G12" s="44"/>
      <c r="H12" s="30"/>
      <c r="I12" s="30"/>
      <c r="J12" s="30"/>
      <c r="K12" s="30"/>
      <c r="L12" s="30"/>
      <c r="M12" s="30"/>
      <c r="N12" s="30"/>
      <c r="O12" s="30">
        <f t="shared" si="0"/>
        <v>0</v>
      </c>
    </row>
    <row r="13" spans="1:15" ht="19.5">
      <c r="A13" s="26"/>
      <c r="B13" s="27" t="s">
        <v>100</v>
      </c>
      <c r="C13" s="44"/>
      <c r="D13" s="44"/>
      <c r="E13" s="44"/>
      <c r="F13" s="44"/>
      <c r="G13" s="44"/>
      <c r="H13" s="30"/>
      <c r="I13" s="30"/>
      <c r="J13" s="30"/>
      <c r="K13" s="30"/>
      <c r="L13" s="30"/>
      <c r="M13" s="30"/>
      <c r="N13" s="30"/>
      <c r="O13" s="30">
        <f t="shared" si="0"/>
        <v>0</v>
      </c>
    </row>
    <row r="14" spans="1:15" ht="19.5">
      <c r="A14" s="26" t="s">
        <v>102</v>
      </c>
      <c r="B14" s="27" t="s">
        <v>101</v>
      </c>
      <c r="C14" s="31"/>
      <c r="D14" s="31"/>
      <c r="E14" s="31"/>
      <c r="F14" s="31"/>
      <c r="G14" s="31"/>
      <c r="H14" s="31"/>
      <c r="I14" s="31"/>
      <c r="J14" s="31"/>
      <c r="K14" s="31"/>
      <c r="L14" s="30"/>
      <c r="M14" s="30"/>
      <c r="N14" s="30"/>
      <c r="O14" s="30">
        <f t="shared" si="0"/>
        <v>0</v>
      </c>
    </row>
    <row r="15" spans="1:15" ht="19.5">
      <c r="A15" s="26"/>
      <c r="B15" s="27" t="s">
        <v>50</v>
      </c>
      <c r="C15" s="31"/>
      <c r="D15" s="31"/>
      <c r="E15" s="31"/>
      <c r="F15" s="31"/>
      <c r="G15" s="31"/>
      <c r="H15" s="31">
        <v>2871436</v>
      </c>
      <c r="I15" s="31"/>
      <c r="J15" s="31"/>
      <c r="K15" s="31"/>
      <c r="L15" s="30"/>
      <c r="M15" s="30"/>
      <c r="N15" s="30"/>
      <c r="O15" s="30">
        <f t="shared" si="0"/>
        <v>2871436</v>
      </c>
    </row>
    <row r="16" spans="1:15" ht="19.5">
      <c r="A16" s="26" t="s">
        <v>103</v>
      </c>
      <c r="B16" s="27" t="s">
        <v>48</v>
      </c>
      <c r="C16" s="31"/>
      <c r="D16" s="31"/>
      <c r="E16" s="31"/>
      <c r="F16" s="31"/>
      <c r="G16" s="31"/>
      <c r="H16" s="31"/>
      <c r="I16" s="31"/>
      <c r="J16" s="31"/>
      <c r="K16" s="31"/>
      <c r="L16" s="30"/>
      <c r="M16" s="30"/>
      <c r="N16" s="30"/>
      <c r="O16" s="30">
        <f t="shared" si="0"/>
        <v>0</v>
      </c>
    </row>
    <row r="17" spans="1:15" ht="19.5">
      <c r="A17" s="26" t="s">
        <v>104</v>
      </c>
      <c r="B17" s="27" t="s">
        <v>28</v>
      </c>
      <c r="C17" s="31"/>
      <c r="D17" s="31"/>
      <c r="E17" s="31"/>
      <c r="F17" s="31"/>
      <c r="G17" s="31"/>
      <c r="H17" s="31"/>
      <c r="I17" s="31"/>
      <c r="J17" s="31"/>
      <c r="K17" s="31"/>
      <c r="L17" s="30"/>
      <c r="M17" s="30"/>
      <c r="N17" s="30"/>
      <c r="O17" s="30">
        <f t="shared" si="0"/>
        <v>0</v>
      </c>
    </row>
    <row r="18" spans="1:15" ht="21.75" thickBot="1">
      <c r="A18" s="629" t="s">
        <v>68</v>
      </c>
      <c r="B18" s="629"/>
      <c r="C18" s="12">
        <f aca="true" t="shared" si="1" ref="C18:M18">SUM(C8:C17)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  <c r="H18" s="12">
        <f t="shared" si="1"/>
        <v>2871436</v>
      </c>
      <c r="I18" s="12">
        <f t="shared" si="1"/>
        <v>0</v>
      </c>
      <c r="J18" s="12">
        <f t="shared" si="1"/>
        <v>0</v>
      </c>
      <c r="K18" s="12">
        <f t="shared" si="1"/>
        <v>0</v>
      </c>
      <c r="L18" s="12">
        <f t="shared" si="1"/>
        <v>0</v>
      </c>
      <c r="M18" s="12">
        <f t="shared" si="1"/>
        <v>0</v>
      </c>
      <c r="N18" s="12">
        <f>SUM(N7:N17)</f>
        <v>0</v>
      </c>
      <c r="O18" s="12">
        <f>SUM(O7:O17)</f>
        <v>2871436</v>
      </c>
    </row>
    <row r="19" ht="20.25" thickTop="1"/>
    <row r="22" spans="2:15" ht="21">
      <c r="B22" s="630" t="s">
        <v>338</v>
      </c>
      <c r="C22" s="630"/>
      <c r="E22" s="2"/>
      <c r="F22" s="2"/>
      <c r="G22" s="2"/>
      <c r="H22" s="630" t="s">
        <v>339</v>
      </c>
      <c r="I22" s="630"/>
      <c r="J22" s="2"/>
      <c r="M22" s="590" t="s">
        <v>342</v>
      </c>
      <c r="N22" s="590"/>
      <c r="O22" s="590"/>
    </row>
    <row r="23" spans="2:15" ht="21">
      <c r="B23" s="630" t="s">
        <v>340</v>
      </c>
      <c r="C23" s="630"/>
      <c r="E23" s="2"/>
      <c r="F23" s="2"/>
      <c r="G23" s="2"/>
      <c r="H23" s="630" t="s">
        <v>372</v>
      </c>
      <c r="I23" s="630"/>
      <c r="J23" s="2"/>
      <c r="M23" s="590" t="s">
        <v>705</v>
      </c>
      <c r="N23" s="590"/>
      <c r="O23" s="590"/>
    </row>
    <row r="24" spans="8:9" ht="21">
      <c r="H24" s="2"/>
      <c r="I24" s="2"/>
    </row>
    <row r="25" spans="1:16" s="3" customFormat="1" ht="2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s="3" customFormat="1" ht="2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8:10" ht="21">
      <c r="H27" s="2"/>
      <c r="I27" s="2"/>
      <c r="J27" s="2"/>
    </row>
    <row r="28" spans="8:10" ht="21">
      <c r="H28" s="2"/>
      <c r="I28" s="2"/>
      <c r="J28" s="2"/>
    </row>
  </sheetData>
  <sheetProtection/>
  <mergeCells count="13">
    <mergeCell ref="A1:O1"/>
    <mergeCell ref="A2:O2"/>
    <mergeCell ref="A3:O3"/>
    <mergeCell ref="A5:A6"/>
    <mergeCell ref="B5:B6"/>
    <mergeCell ref="C5:O5"/>
    <mergeCell ref="H23:I23"/>
    <mergeCell ref="M22:O22"/>
    <mergeCell ref="B23:C23"/>
    <mergeCell ref="M23:O23"/>
    <mergeCell ref="H22:I22"/>
    <mergeCell ref="A18:B18"/>
    <mergeCell ref="B22:C22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scale="7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4">
      <selection activeCell="A21" sqref="A21:IV22"/>
    </sheetView>
  </sheetViews>
  <sheetFormatPr defaultColWidth="9.140625" defaultRowHeight="15"/>
  <cols>
    <col min="1" max="1" width="11.8515625" style="1" customWidth="1"/>
    <col min="2" max="2" width="20.28125" style="1" customWidth="1"/>
    <col min="3" max="12" width="12.57421875" style="1" customWidth="1"/>
    <col min="13" max="13" width="13.00390625" style="1" customWidth="1"/>
    <col min="14" max="14" width="11.57421875" style="1" customWidth="1"/>
    <col min="15" max="15" width="12.57421875" style="1" customWidth="1"/>
    <col min="16" max="16384" width="9.00390625" style="1" customWidth="1"/>
  </cols>
  <sheetData>
    <row r="1" spans="1:15" ht="19.5">
      <c r="A1" s="632" t="str">
        <f>+งบแสดงฐานะการเงิน!A1</f>
        <v>องค์การบริหารส่วนตำบลโพนทอง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  <c r="O1" s="632"/>
    </row>
    <row r="2" spans="1:15" ht="19.5">
      <c r="A2" s="632" t="s">
        <v>163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  <c r="N2" s="632"/>
      <c r="O2" s="632"/>
    </row>
    <row r="3" spans="1:15" ht="19.5">
      <c r="A3" s="632" t="str">
        <f>+'ตามแผนงาน 1'!A3:F3</f>
        <v>ตั้งแต่วันที่  1  ตุลาคม 2560  ถึง  30 กันยายน 2561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2"/>
    </row>
    <row r="5" spans="1:15" ht="19.5">
      <c r="A5" s="631" t="s">
        <v>94</v>
      </c>
      <c r="B5" s="631" t="s">
        <v>79</v>
      </c>
      <c r="C5" s="631" t="s">
        <v>77</v>
      </c>
      <c r="D5" s="631"/>
      <c r="E5" s="631"/>
      <c r="F5" s="631"/>
      <c r="G5" s="631"/>
      <c r="H5" s="631"/>
      <c r="I5" s="631"/>
      <c r="J5" s="631"/>
      <c r="K5" s="631"/>
      <c r="L5" s="631"/>
      <c r="M5" s="631"/>
      <c r="N5" s="631"/>
      <c r="O5" s="631"/>
    </row>
    <row r="6" spans="1:15" s="24" customFormat="1" ht="97.5">
      <c r="A6" s="631"/>
      <c r="B6" s="631"/>
      <c r="C6" s="20" t="s">
        <v>151</v>
      </c>
      <c r="D6" s="20" t="s">
        <v>152</v>
      </c>
      <c r="E6" s="21" t="s">
        <v>153</v>
      </c>
      <c r="F6" s="20" t="s">
        <v>161</v>
      </c>
      <c r="G6" s="20" t="s">
        <v>154</v>
      </c>
      <c r="H6" s="20" t="s">
        <v>155</v>
      </c>
      <c r="I6" s="20" t="s">
        <v>156</v>
      </c>
      <c r="J6" s="20" t="s">
        <v>157</v>
      </c>
      <c r="K6" s="20" t="s">
        <v>158</v>
      </c>
      <c r="L6" s="20" t="s">
        <v>159</v>
      </c>
      <c r="M6" s="20" t="s">
        <v>160</v>
      </c>
      <c r="N6" s="22" t="s">
        <v>49</v>
      </c>
      <c r="O6" s="23" t="s">
        <v>68</v>
      </c>
    </row>
    <row r="7" spans="1:15" ht="19.5">
      <c r="A7" s="25" t="s">
        <v>96</v>
      </c>
      <c r="B7" s="25" t="s">
        <v>97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>
        <f>SUM(C7:N7)</f>
        <v>0</v>
      </c>
    </row>
    <row r="8" spans="1:15" ht="19.5">
      <c r="A8" s="26"/>
      <c r="B8" s="26" t="s">
        <v>98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>
        <f aca="true" t="shared" si="0" ref="O8:O16">SUM(C8:N8)</f>
        <v>0</v>
      </c>
    </row>
    <row r="9" spans="1:15" ht="19.5">
      <c r="A9" s="26" t="s">
        <v>99</v>
      </c>
      <c r="B9" s="27" t="s">
        <v>45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>
        <f t="shared" si="0"/>
        <v>0</v>
      </c>
    </row>
    <row r="10" spans="1:15" ht="19.5">
      <c r="A10" s="26"/>
      <c r="B10" s="27" t="s">
        <v>46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>
        <f t="shared" si="0"/>
        <v>0</v>
      </c>
    </row>
    <row r="11" spans="1:15" ht="19.5">
      <c r="A11" s="26"/>
      <c r="B11" s="27" t="s">
        <v>47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>
        <f t="shared" si="0"/>
        <v>0</v>
      </c>
    </row>
    <row r="12" spans="1:15" ht="19.5">
      <c r="A12" s="26"/>
      <c r="B12" s="27" t="s">
        <v>100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>
        <f t="shared" si="0"/>
        <v>0</v>
      </c>
    </row>
    <row r="13" spans="1:15" ht="19.5">
      <c r="A13" s="26" t="s">
        <v>102</v>
      </c>
      <c r="B13" s="27" t="s">
        <v>101</v>
      </c>
      <c r="C13" s="31"/>
      <c r="D13" s="31"/>
      <c r="E13" s="31"/>
      <c r="F13" s="31"/>
      <c r="G13" s="31"/>
      <c r="H13" s="31"/>
      <c r="I13" s="31"/>
      <c r="J13" s="31"/>
      <c r="K13" s="31"/>
      <c r="L13" s="30"/>
      <c r="M13" s="30"/>
      <c r="N13" s="30"/>
      <c r="O13" s="30">
        <f t="shared" si="0"/>
        <v>0</v>
      </c>
    </row>
    <row r="14" spans="1:15" ht="19.5">
      <c r="A14" s="26"/>
      <c r="B14" s="27" t="s">
        <v>50</v>
      </c>
      <c r="C14" s="31"/>
      <c r="D14" s="31"/>
      <c r="E14" s="31"/>
      <c r="F14" s="31"/>
      <c r="G14" s="31"/>
      <c r="H14" s="31"/>
      <c r="I14" s="31"/>
      <c r="J14" s="31"/>
      <c r="K14" s="31"/>
      <c r="L14" s="30"/>
      <c r="M14" s="30"/>
      <c r="N14" s="30"/>
      <c r="O14" s="30">
        <f t="shared" si="0"/>
        <v>0</v>
      </c>
    </row>
    <row r="15" spans="1:15" ht="19.5">
      <c r="A15" s="26" t="s">
        <v>103</v>
      </c>
      <c r="B15" s="27" t="s">
        <v>48</v>
      </c>
      <c r="C15" s="31"/>
      <c r="D15" s="31"/>
      <c r="E15" s="31"/>
      <c r="F15" s="31"/>
      <c r="G15" s="31"/>
      <c r="H15" s="31"/>
      <c r="I15" s="31"/>
      <c r="J15" s="31"/>
      <c r="K15" s="31"/>
      <c r="L15" s="30"/>
      <c r="M15" s="30"/>
      <c r="N15" s="30"/>
      <c r="O15" s="30">
        <f t="shared" si="0"/>
        <v>0</v>
      </c>
    </row>
    <row r="16" spans="1:15" ht="19.5">
      <c r="A16" s="26" t="s">
        <v>104</v>
      </c>
      <c r="B16" s="27" t="s">
        <v>28</v>
      </c>
      <c r="C16" s="31"/>
      <c r="D16" s="31"/>
      <c r="E16" s="31"/>
      <c r="F16" s="31"/>
      <c r="G16" s="31"/>
      <c r="H16" s="31"/>
      <c r="I16" s="31"/>
      <c r="J16" s="31"/>
      <c r="K16" s="31"/>
      <c r="L16" s="30"/>
      <c r="M16" s="30"/>
      <c r="N16" s="30"/>
      <c r="O16" s="32">
        <f t="shared" si="0"/>
        <v>0</v>
      </c>
    </row>
    <row r="17" spans="1:15" ht="21.75" thickBot="1">
      <c r="A17" s="629" t="s">
        <v>68</v>
      </c>
      <c r="B17" s="629"/>
      <c r="C17" s="12">
        <f aca="true" t="shared" si="1" ref="C17:O17">SUM(C7:C16)</f>
        <v>0</v>
      </c>
      <c r="D17" s="12">
        <f t="shared" si="1"/>
        <v>0</v>
      </c>
      <c r="E17" s="12">
        <f t="shared" si="1"/>
        <v>0</v>
      </c>
      <c r="F17" s="12">
        <f t="shared" si="1"/>
        <v>0</v>
      </c>
      <c r="G17" s="12">
        <f t="shared" si="1"/>
        <v>0</v>
      </c>
      <c r="H17" s="12">
        <f t="shared" si="1"/>
        <v>0</v>
      </c>
      <c r="I17" s="12">
        <f t="shared" si="1"/>
        <v>0</v>
      </c>
      <c r="J17" s="12">
        <f t="shared" si="1"/>
        <v>0</v>
      </c>
      <c r="K17" s="12">
        <f t="shared" si="1"/>
        <v>0</v>
      </c>
      <c r="L17" s="12">
        <f t="shared" si="1"/>
        <v>0</v>
      </c>
      <c r="M17" s="12">
        <f t="shared" si="1"/>
        <v>0</v>
      </c>
      <c r="N17" s="12">
        <f t="shared" si="1"/>
        <v>0</v>
      </c>
      <c r="O17" s="12">
        <f t="shared" si="1"/>
        <v>0</v>
      </c>
    </row>
    <row r="18" ht="20.25" thickTop="1"/>
    <row r="21" spans="2:15" ht="21">
      <c r="B21" s="630" t="s">
        <v>338</v>
      </c>
      <c r="C21" s="630"/>
      <c r="E21" s="2"/>
      <c r="F21" s="2"/>
      <c r="G21" s="2"/>
      <c r="H21" s="630" t="s">
        <v>339</v>
      </c>
      <c r="I21" s="630"/>
      <c r="J21" s="2"/>
      <c r="M21" s="590" t="s">
        <v>342</v>
      </c>
      <c r="N21" s="590"/>
      <c r="O21" s="590"/>
    </row>
    <row r="22" spans="2:15" ht="21">
      <c r="B22" s="630" t="s">
        <v>340</v>
      </c>
      <c r="C22" s="630"/>
      <c r="E22" s="2"/>
      <c r="F22" s="2"/>
      <c r="G22" s="2"/>
      <c r="H22" s="630" t="s">
        <v>372</v>
      </c>
      <c r="I22" s="630"/>
      <c r="J22" s="2"/>
      <c r="M22" s="590" t="s">
        <v>705</v>
      </c>
      <c r="N22" s="590"/>
      <c r="O22" s="590"/>
    </row>
  </sheetData>
  <sheetProtection/>
  <mergeCells count="13">
    <mergeCell ref="A17:B17"/>
    <mergeCell ref="A1:O1"/>
    <mergeCell ref="A2:O2"/>
    <mergeCell ref="A3:O3"/>
    <mergeCell ref="A5:A6"/>
    <mergeCell ref="B5:B6"/>
    <mergeCell ref="C5:O5"/>
    <mergeCell ref="B21:C21"/>
    <mergeCell ref="H21:I21"/>
    <mergeCell ref="M21:O21"/>
    <mergeCell ref="B22:C22"/>
    <mergeCell ref="H22:I22"/>
    <mergeCell ref="M22:O22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scale="6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A21" sqref="A21:IV22"/>
    </sheetView>
  </sheetViews>
  <sheetFormatPr defaultColWidth="9.140625" defaultRowHeight="15"/>
  <cols>
    <col min="1" max="1" width="11.8515625" style="1" customWidth="1"/>
    <col min="2" max="2" width="20.28125" style="1" customWidth="1"/>
    <col min="3" max="12" width="12.57421875" style="1" customWidth="1"/>
    <col min="13" max="13" width="13.00390625" style="1" customWidth="1"/>
    <col min="14" max="14" width="11.57421875" style="1" customWidth="1"/>
    <col min="15" max="15" width="12.57421875" style="1" customWidth="1"/>
    <col min="16" max="16384" width="9.00390625" style="1" customWidth="1"/>
  </cols>
  <sheetData>
    <row r="1" spans="1:15" ht="19.5">
      <c r="A1" s="632" t="str">
        <f>+งบแสดงฐานะการเงิน!A1</f>
        <v>องค์การบริหารส่วนตำบลโพนทอง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  <c r="O1" s="632"/>
    </row>
    <row r="2" spans="1:15" ht="19.5">
      <c r="A2" s="632" t="s">
        <v>164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  <c r="N2" s="632"/>
      <c r="O2" s="632"/>
    </row>
    <row r="3" spans="1:15" ht="19.5">
      <c r="A3" s="632" t="str">
        <f>+'ตามแผนงาน 1'!A3:F3</f>
        <v>ตั้งแต่วันที่  1  ตุลาคม 2560  ถึง  30 กันยายน 2561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2"/>
    </row>
    <row r="5" spans="1:15" ht="19.5">
      <c r="A5" s="631" t="s">
        <v>94</v>
      </c>
      <c r="B5" s="631" t="s">
        <v>79</v>
      </c>
      <c r="C5" s="631" t="s">
        <v>77</v>
      </c>
      <c r="D5" s="631"/>
      <c r="E5" s="631"/>
      <c r="F5" s="631"/>
      <c r="G5" s="631"/>
      <c r="H5" s="631"/>
      <c r="I5" s="631"/>
      <c r="J5" s="631"/>
      <c r="K5" s="631"/>
      <c r="L5" s="631"/>
      <c r="M5" s="631"/>
      <c r="N5" s="631"/>
      <c r="O5" s="631"/>
    </row>
    <row r="6" spans="1:15" s="24" customFormat="1" ht="97.5">
      <c r="A6" s="631"/>
      <c r="B6" s="631"/>
      <c r="C6" s="20" t="s">
        <v>151</v>
      </c>
      <c r="D6" s="20" t="s">
        <v>152</v>
      </c>
      <c r="E6" s="21" t="s">
        <v>153</v>
      </c>
      <c r="F6" s="20" t="s">
        <v>161</v>
      </c>
      <c r="G6" s="20" t="s">
        <v>154</v>
      </c>
      <c r="H6" s="20" t="s">
        <v>155</v>
      </c>
      <c r="I6" s="20" t="s">
        <v>156</v>
      </c>
      <c r="J6" s="20" t="s">
        <v>157</v>
      </c>
      <c r="K6" s="20" t="s">
        <v>158</v>
      </c>
      <c r="L6" s="20" t="s">
        <v>159</v>
      </c>
      <c r="M6" s="20" t="s">
        <v>160</v>
      </c>
      <c r="N6" s="22" t="s">
        <v>49</v>
      </c>
      <c r="O6" s="23" t="s">
        <v>68</v>
      </c>
    </row>
    <row r="7" spans="1:15" ht="19.5">
      <c r="A7" s="25" t="s">
        <v>96</v>
      </c>
      <c r="B7" s="25" t="s">
        <v>97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>
        <f>SUM(C7:N7)</f>
        <v>0</v>
      </c>
    </row>
    <row r="8" spans="1:15" ht="19.5">
      <c r="A8" s="26"/>
      <c r="B8" s="26" t="s">
        <v>98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>
        <f aca="true" t="shared" si="0" ref="O8:O16">SUM(C8:N8)</f>
        <v>0</v>
      </c>
    </row>
    <row r="9" spans="1:15" ht="19.5">
      <c r="A9" s="26" t="s">
        <v>99</v>
      </c>
      <c r="B9" s="27" t="s">
        <v>45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>
        <f t="shared" si="0"/>
        <v>0</v>
      </c>
    </row>
    <row r="10" spans="1:15" ht="19.5">
      <c r="A10" s="26"/>
      <c r="B10" s="27" t="s">
        <v>46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>
        <f t="shared" si="0"/>
        <v>0</v>
      </c>
    </row>
    <row r="11" spans="1:15" ht="19.5">
      <c r="A11" s="26"/>
      <c r="B11" s="27" t="s">
        <v>47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>
        <f t="shared" si="0"/>
        <v>0</v>
      </c>
    </row>
    <row r="12" spans="1:15" ht="19.5">
      <c r="A12" s="26"/>
      <c r="B12" s="27" t="s">
        <v>100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>
        <f t="shared" si="0"/>
        <v>0</v>
      </c>
    </row>
    <row r="13" spans="1:15" ht="19.5">
      <c r="A13" s="26" t="s">
        <v>102</v>
      </c>
      <c r="B13" s="27" t="s">
        <v>101</v>
      </c>
      <c r="C13" s="31"/>
      <c r="D13" s="31"/>
      <c r="E13" s="31"/>
      <c r="F13" s="31"/>
      <c r="G13" s="31"/>
      <c r="H13" s="31"/>
      <c r="I13" s="31"/>
      <c r="J13" s="31"/>
      <c r="K13" s="31"/>
      <c r="L13" s="30"/>
      <c r="M13" s="30"/>
      <c r="N13" s="30"/>
      <c r="O13" s="30">
        <f t="shared" si="0"/>
        <v>0</v>
      </c>
    </row>
    <row r="14" spans="1:15" ht="19.5">
      <c r="A14" s="26"/>
      <c r="B14" s="27" t="s">
        <v>50</v>
      </c>
      <c r="C14" s="31"/>
      <c r="D14" s="31"/>
      <c r="E14" s="31"/>
      <c r="F14" s="31"/>
      <c r="G14" s="31"/>
      <c r="H14" s="31"/>
      <c r="I14" s="31"/>
      <c r="J14" s="31"/>
      <c r="K14" s="31"/>
      <c r="L14" s="30"/>
      <c r="M14" s="30"/>
      <c r="N14" s="30"/>
      <c r="O14" s="30">
        <f t="shared" si="0"/>
        <v>0</v>
      </c>
    </row>
    <row r="15" spans="1:15" ht="19.5">
      <c r="A15" s="26" t="s">
        <v>103</v>
      </c>
      <c r="B15" s="27" t="s">
        <v>48</v>
      </c>
      <c r="C15" s="31"/>
      <c r="D15" s="31"/>
      <c r="E15" s="31"/>
      <c r="F15" s="31"/>
      <c r="G15" s="31"/>
      <c r="H15" s="31"/>
      <c r="I15" s="31"/>
      <c r="J15" s="31"/>
      <c r="K15" s="31"/>
      <c r="L15" s="30"/>
      <c r="M15" s="30"/>
      <c r="N15" s="30"/>
      <c r="O15" s="30">
        <f t="shared" si="0"/>
        <v>0</v>
      </c>
    </row>
    <row r="16" spans="1:15" ht="19.5">
      <c r="A16" s="26" t="s">
        <v>104</v>
      </c>
      <c r="B16" s="27" t="s">
        <v>28</v>
      </c>
      <c r="C16" s="31"/>
      <c r="D16" s="31"/>
      <c r="E16" s="31"/>
      <c r="F16" s="31"/>
      <c r="G16" s="31"/>
      <c r="H16" s="31"/>
      <c r="I16" s="31"/>
      <c r="J16" s="31"/>
      <c r="K16" s="31"/>
      <c r="L16" s="30"/>
      <c r="M16" s="30"/>
      <c r="N16" s="30"/>
      <c r="O16" s="32">
        <f t="shared" si="0"/>
        <v>0</v>
      </c>
    </row>
    <row r="17" spans="1:15" ht="21.75" thickBot="1">
      <c r="A17" s="629" t="s">
        <v>68</v>
      </c>
      <c r="B17" s="629"/>
      <c r="C17" s="12">
        <f aca="true" t="shared" si="1" ref="C17:O17">SUM(C7:C16)</f>
        <v>0</v>
      </c>
      <c r="D17" s="12">
        <f t="shared" si="1"/>
        <v>0</v>
      </c>
      <c r="E17" s="12">
        <f t="shared" si="1"/>
        <v>0</v>
      </c>
      <c r="F17" s="12">
        <f t="shared" si="1"/>
        <v>0</v>
      </c>
      <c r="G17" s="12">
        <f t="shared" si="1"/>
        <v>0</v>
      </c>
      <c r="H17" s="12">
        <f t="shared" si="1"/>
        <v>0</v>
      </c>
      <c r="I17" s="12">
        <f t="shared" si="1"/>
        <v>0</v>
      </c>
      <c r="J17" s="12">
        <f t="shared" si="1"/>
        <v>0</v>
      </c>
      <c r="K17" s="12">
        <f t="shared" si="1"/>
        <v>0</v>
      </c>
      <c r="L17" s="12">
        <f t="shared" si="1"/>
        <v>0</v>
      </c>
      <c r="M17" s="12">
        <f t="shared" si="1"/>
        <v>0</v>
      </c>
      <c r="N17" s="12">
        <f t="shared" si="1"/>
        <v>0</v>
      </c>
      <c r="O17" s="12">
        <f t="shared" si="1"/>
        <v>0</v>
      </c>
    </row>
    <row r="18" ht="20.25" thickTop="1"/>
    <row r="21" spans="2:15" ht="21">
      <c r="B21" s="630" t="s">
        <v>338</v>
      </c>
      <c r="C21" s="630"/>
      <c r="E21" s="2"/>
      <c r="F21" s="2"/>
      <c r="G21" s="2"/>
      <c r="H21" s="630" t="s">
        <v>339</v>
      </c>
      <c r="I21" s="630"/>
      <c r="J21" s="2"/>
      <c r="M21" s="590" t="s">
        <v>342</v>
      </c>
      <c r="N21" s="590"/>
      <c r="O21" s="590"/>
    </row>
    <row r="22" spans="2:15" ht="21">
      <c r="B22" s="630" t="s">
        <v>340</v>
      </c>
      <c r="C22" s="630"/>
      <c r="E22" s="2"/>
      <c r="F22" s="2"/>
      <c r="G22" s="2"/>
      <c r="H22" s="630" t="s">
        <v>372</v>
      </c>
      <c r="I22" s="630"/>
      <c r="J22" s="2"/>
      <c r="M22" s="590" t="s">
        <v>705</v>
      </c>
      <c r="N22" s="590"/>
      <c r="O22" s="590"/>
    </row>
  </sheetData>
  <sheetProtection/>
  <mergeCells count="13">
    <mergeCell ref="A17:B17"/>
    <mergeCell ref="A1:O1"/>
    <mergeCell ref="A2:O2"/>
    <mergeCell ref="A3:O3"/>
    <mergeCell ref="A5:A6"/>
    <mergeCell ref="B5:B6"/>
    <mergeCell ref="C5:O5"/>
    <mergeCell ref="B21:C21"/>
    <mergeCell ref="H21:I21"/>
    <mergeCell ref="M21:O21"/>
    <mergeCell ref="B22:C22"/>
    <mergeCell ref="H22:I22"/>
    <mergeCell ref="M22:O22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scale="6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5">
      <selection activeCell="A35" sqref="A35:IV36"/>
    </sheetView>
  </sheetViews>
  <sheetFormatPr defaultColWidth="9.140625" defaultRowHeight="15"/>
  <cols>
    <col min="1" max="1" width="24.421875" style="1" customWidth="1"/>
    <col min="2" max="2" width="14.421875" style="1" customWidth="1"/>
    <col min="3" max="3" width="14.57421875" style="1" customWidth="1"/>
    <col min="4" max="4" width="12.57421875" style="1" customWidth="1"/>
    <col min="5" max="5" width="14.28125" style="1" customWidth="1"/>
    <col min="6" max="6" width="13.7109375" style="1" customWidth="1"/>
    <col min="7" max="7" width="11.57421875" style="1" customWidth="1"/>
    <col min="8" max="8" width="13.57421875" style="1" customWidth="1"/>
    <col min="9" max="9" width="13.7109375" style="1" customWidth="1"/>
    <col min="10" max="10" width="12.28125" style="1" customWidth="1"/>
    <col min="11" max="11" width="13.57421875" style="1" customWidth="1"/>
    <col min="12" max="12" width="12.00390625" style="1" customWidth="1"/>
    <col min="13" max="13" width="11.7109375" style="1" customWidth="1"/>
    <col min="14" max="14" width="6.7109375" style="1" customWidth="1"/>
    <col min="15" max="15" width="12.00390625" style="1" customWidth="1"/>
    <col min="16" max="16" width="7.140625" style="1" customWidth="1"/>
    <col min="17" max="17" width="14.28125" style="1" customWidth="1"/>
    <col min="18" max="16384" width="9.00390625" style="1" customWidth="1"/>
  </cols>
  <sheetData>
    <row r="1" spans="1:17" ht="19.5">
      <c r="A1" s="632" t="str">
        <f>+งบแสดงฐานะการเงิน!A1</f>
        <v>องค์การบริหารส่วนตำบลโพนทอง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  <c r="O1" s="632"/>
      <c r="P1" s="632"/>
      <c r="Q1" s="632"/>
    </row>
    <row r="2" spans="1:17" s="83" customFormat="1" ht="18.75">
      <c r="A2" s="618" t="s">
        <v>40</v>
      </c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</row>
    <row r="3" spans="1:17" s="83" customFormat="1" ht="18.75">
      <c r="A3" s="618" t="str">
        <f>+'ตามแผนงาน 1'!A3:F3</f>
        <v>ตั้งแต่วันที่  1  ตุลาคม 2560  ถึง  30 กันยายน 2561</v>
      </c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</row>
    <row r="4" s="83" customFormat="1" ht="18.75"/>
    <row r="5" spans="1:17" s="405" customFormat="1" ht="93.75">
      <c r="A5" s="508" t="s">
        <v>31</v>
      </c>
      <c r="B5" s="508" t="s">
        <v>29</v>
      </c>
      <c r="C5" s="509" t="s">
        <v>260</v>
      </c>
      <c r="D5" s="509" t="s">
        <v>261</v>
      </c>
      <c r="E5" s="508" t="s">
        <v>68</v>
      </c>
      <c r="F5" s="510" t="s">
        <v>151</v>
      </c>
      <c r="G5" s="510" t="s">
        <v>152</v>
      </c>
      <c r="H5" s="511" t="s">
        <v>153</v>
      </c>
      <c r="I5" s="510" t="s">
        <v>174</v>
      </c>
      <c r="J5" s="510" t="s">
        <v>154</v>
      </c>
      <c r="K5" s="510" t="s">
        <v>155</v>
      </c>
      <c r="L5" s="510" t="s">
        <v>156</v>
      </c>
      <c r="M5" s="510" t="s">
        <v>157</v>
      </c>
      <c r="N5" s="510" t="s">
        <v>158</v>
      </c>
      <c r="O5" s="510" t="s">
        <v>159</v>
      </c>
      <c r="P5" s="510" t="s">
        <v>160</v>
      </c>
      <c r="Q5" s="512" t="s">
        <v>49</v>
      </c>
    </row>
    <row r="6" spans="1:17" s="405" customFormat="1" ht="18.75">
      <c r="A6" s="513" t="s">
        <v>33</v>
      </c>
      <c r="B6" s="514"/>
      <c r="C6" s="515"/>
      <c r="D6" s="516"/>
      <c r="E6" s="515">
        <f>SUM(F6:Q6)</f>
        <v>0</v>
      </c>
      <c r="F6" s="517"/>
      <c r="G6" s="517"/>
      <c r="H6" s="516"/>
      <c r="I6" s="517"/>
      <c r="J6" s="517"/>
      <c r="K6" s="517"/>
      <c r="L6" s="517"/>
      <c r="M6" s="517"/>
      <c r="N6" s="517"/>
      <c r="O6" s="517"/>
      <c r="P6" s="517"/>
      <c r="Q6" s="517"/>
    </row>
    <row r="7" spans="1:17" s="405" customFormat="1" ht="18.75">
      <c r="A7" s="376" t="s">
        <v>49</v>
      </c>
      <c r="B7" s="518">
        <f>56600+3669000+1100000+12000+159200+70000+140000</f>
        <v>5206800</v>
      </c>
      <c r="C7" s="85">
        <f>+E7</f>
        <v>4545228</v>
      </c>
      <c r="D7" s="519"/>
      <c r="E7" s="520">
        <f aca="true" t="shared" si="0" ref="E7:E17">SUM(F7:Q7)</f>
        <v>4545228</v>
      </c>
      <c r="F7" s="521"/>
      <c r="G7" s="521"/>
      <c r="H7" s="522"/>
      <c r="I7" s="521"/>
      <c r="J7" s="521"/>
      <c r="K7" s="521"/>
      <c r="L7" s="521"/>
      <c r="M7" s="521"/>
      <c r="N7" s="521"/>
      <c r="O7" s="521"/>
      <c r="P7" s="521"/>
      <c r="Q7" s="523">
        <f>+ตามแผนงานรวม!O19</f>
        <v>4545228</v>
      </c>
    </row>
    <row r="8" spans="1:17" s="405" customFormat="1" ht="18.75">
      <c r="A8" s="89" t="s">
        <v>97</v>
      </c>
      <c r="B8" s="524">
        <v>2225520</v>
      </c>
      <c r="C8" s="85">
        <f aca="true" t="shared" si="1" ref="C8:C17">+E8</f>
        <v>2191981</v>
      </c>
      <c r="D8" s="85"/>
      <c r="E8" s="520">
        <f t="shared" si="0"/>
        <v>2191981</v>
      </c>
      <c r="F8" s="85">
        <f>+ตามแผนงานรวม!D8</f>
        <v>2191981</v>
      </c>
      <c r="G8" s="85">
        <f>+ตามแผนงานรวม!E8</f>
        <v>0</v>
      </c>
      <c r="H8" s="85">
        <f>+ตามแผนงานรวม!F8</f>
        <v>0</v>
      </c>
      <c r="I8" s="85">
        <f>+ตามแผนงานรวม!G8</f>
        <v>0</v>
      </c>
      <c r="J8" s="85">
        <f>+ตามแผนงานรวม!H8</f>
        <v>0</v>
      </c>
      <c r="K8" s="85">
        <f>+ตามแผนงานรวม!I8</f>
        <v>0</v>
      </c>
      <c r="L8" s="85">
        <f>+ตามแผนงานรวม!J8</f>
        <v>0</v>
      </c>
      <c r="M8" s="85">
        <f>+ตามแผนงานรวม!K8</f>
        <v>0</v>
      </c>
      <c r="N8" s="85">
        <f>+ตามแผนงานรวม!L8</f>
        <v>0</v>
      </c>
      <c r="O8" s="85">
        <f>+ตามแผนงานรวม!M8</f>
        <v>0</v>
      </c>
      <c r="P8" s="85">
        <f>+ตามแผนงานรวม!N9</f>
        <v>0</v>
      </c>
      <c r="Q8" s="85"/>
    </row>
    <row r="9" spans="1:17" s="405" customFormat="1" ht="18.75">
      <c r="A9" s="89" t="s">
        <v>98</v>
      </c>
      <c r="B9" s="524">
        <v>7646060</v>
      </c>
      <c r="C9" s="85">
        <f t="shared" si="1"/>
        <v>7451405</v>
      </c>
      <c r="D9" s="85"/>
      <c r="E9" s="520">
        <f t="shared" si="0"/>
        <v>7451405</v>
      </c>
      <c r="F9" s="85">
        <f>+ตามแผนงานรวม!D9</f>
        <v>3917285</v>
      </c>
      <c r="G9" s="85">
        <f>+ตามแผนงานรวม!E9</f>
        <v>0</v>
      </c>
      <c r="H9" s="85">
        <f>+ตามแผนงานรวม!F9</f>
        <v>1707820</v>
      </c>
      <c r="I9" s="85">
        <f>+ตามแผนงานรวม!G9</f>
        <v>711000</v>
      </c>
      <c r="J9" s="85">
        <f>+ตามแผนงานรวม!H9</f>
        <v>483120</v>
      </c>
      <c r="K9" s="85">
        <f>+ตามแผนงานรวม!I9</f>
        <v>632180</v>
      </c>
      <c r="L9" s="85">
        <f>+ตามแผนงานรวม!J9</f>
        <v>0</v>
      </c>
      <c r="M9" s="85">
        <f>+ตามแผนงานรวม!K9</f>
        <v>0</v>
      </c>
      <c r="N9" s="85">
        <f>+ตามแผนงานรวม!L9</f>
        <v>0</v>
      </c>
      <c r="O9" s="85">
        <f>+ตามแผนงานรวม!M9</f>
        <v>0</v>
      </c>
      <c r="P9" s="85">
        <f>+ตามแผนงานรวม!N10</f>
        <v>0</v>
      </c>
      <c r="Q9" s="85"/>
    </row>
    <row r="10" spans="1:17" s="405" customFormat="1" ht="18.75">
      <c r="A10" s="374" t="s">
        <v>45</v>
      </c>
      <c r="B10" s="378">
        <v>771000</v>
      </c>
      <c r="C10" s="85">
        <f t="shared" si="1"/>
        <v>699330</v>
      </c>
      <c r="D10" s="85"/>
      <c r="E10" s="520">
        <f t="shared" si="0"/>
        <v>699330</v>
      </c>
      <c r="F10" s="85">
        <f>+ตามแผนงานรวม!D10</f>
        <v>381400</v>
      </c>
      <c r="G10" s="85">
        <f>+ตามแผนงานรวม!E10</f>
        <v>0</v>
      </c>
      <c r="H10" s="85">
        <f>+ตามแผนงานรวม!F10</f>
        <v>155330</v>
      </c>
      <c r="I10" s="85">
        <f>+ตามแผนงานรวม!G10</f>
        <v>60460</v>
      </c>
      <c r="J10" s="85">
        <f>+ตามแผนงานรวม!H10</f>
        <v>42040</v>
      </c>
      <c r="K10" s="85">
        <f>+ตามแผนงานรวม!I10</f>
        <v>60100</v>
      </c>
      <c r="L10" s="85">
        <f>+ตามแผนงานรวม!J10</f>
        <v>0</v>
      </c>
      <c r="M10" s="85">
        <f>+ตามแผนงานรวม!K10</f>
        <v>0</v>
      </c>
      <c r="N10" s="85">
        <f>+ตามแผนงานรวม!L10</f>
        <v>0</v>
      </c>
      <c r="O10" s="85">
        <f>+ตามแผนงานรวม!M10</f>
        <v>0</v>
      </c>
      <c r="P10" s="85">
        <f>+ตามแผนงานรวม!N11</f>
        <v>0</v>
      </c>
      <c r="Q10" s="85"/>
    </row>
    <row r="11" spans="1:17" s="405" customFormat="1" ht="18.75">
      <c r="A11" s="374" t="s">
        <v>46</v>
      </c>
      <c r="B11" s="378">
        <v>3833700</v>
      </c>
      <c r="C11" s="85">
        <f t="shared" si="1"/>
        <v>3210955.9299999997</v>
      </c>
      <c r="D11" s="85"/>
      <c r="E11" s="520">
        <f t="shared" si="0"/>
        <v>3210955.9299999997</v>
      </c>
      <c r="F11" s="85">
        <f>+ตามแผนงานรวม!D11</f>
        <v>631848.22</v>
      </c>
      <c r="G11" s="85">
        <f>+ตามแผนงานรวม!E11</f>
        <v>31250</v>
      </c>
      <c r="H11" s="85">
        <f>+ตามแผนงานรวม!F11</f>
        <v>904365</v>
      </c>
      <c r="I11" s="85">
        <f>+ตามแผนงานรวม!G11</f>
        <v>189185</v>
      </c>
      <c r="J11" s="85">
        <f>+ตามแผนงานรวม!H11</f>
        <v>24264</v>
      </c>
      <c r="K11" s="85">
        <f>+ตามแผนงานรวม!I11</f>
        <v>766039.71</v>
      </c>
      <c r="L11" s="85">
        <f>+ตามแผนงานรวม!J11</f>
        <v>206654</v>
      </c>
      <c r="M11" s="85">
        <f>+ตามแผนงานรวม!K11</f>
        <v>350690</v>
      </c>
      <c r="N11" s="85">
        <f>+ตามแผนงานรวม!L11</f>
        <v>0</v>
      </c>
      <c r="O11" s="85">
        <f>+ตามแผนงานรวม!M11</f>
        <v>106660</v>
      </c>
      <c r="P11" s="85">
        <f>+ตามแผนงานรวม!N12</f>
        <v>0</v>
      </c>
      <c r="Q11" s="85"/>
    </row>
    <row r="12" spans="1:17" s="405" customFormat="1" ht="18.75">
      <c r="A12" s="374" t="s">
        <v>47</v>
      </c>
      <c r="B12" s="378">
        <v>1595720</v>
      </c>
      <c r="C12" s="85">
        <f t="shared" si="1"/>
        <v>1297686.9700000002</v>
      </c>
      <c r="D12" s="85"/>
      <c r="E12" s="520">
        <f t="shared" si="0"/>
        <v>1297686.9700000002</v>
      </c>
      <c r="F12" s="85">
        <f>+ตามแผนงานรวม!D12</f>
        <v>321760.55000000005</v>
      </c>
      <c r="G12" s="85">
        <f>+ตามแผนงานรวม!E12</f>
        <v>0</v>
      </c>
      <c r="H12" s="85">
        <f>+ตามแผนงานรวม!F12</f>
        <v>813504.82</v>
      </c>
      <c r="I12" s="85">
        <f>+ตามแผนงานรวม!G12</f>
        <v>18630</v>
      </c>
      <c r="J12" s="85">
        <f>+ตามแผนงานรวม!H12</f>
        <v>9116</v>
      </c>
      <c r="K12" s="85">
        <f>+ตามแผนงานรวม!I12</f>
        <v>104675.6</v>
      </c>
      <c r="L12" s="85">
        <f>+ตามแผนงานรวม!J12</f>
        <v>0</v>
      </c>
      <c r="M12" s="85">
        <f>+ตามแผนงานรวม!K12</f>
        <v>30000</v>
      </c>
      <c r="N12" s="85">
        <f>+ตามแผนงานรวม!L12</f>
        <v>0</v>
      </c>
      <c r="O12" s="85">
        <f>+ตามแผนงานรวม!M12</f>
        <v>0</v>
      </c>
      <c r="P12" s="85">
        <f>+ตามแผนงานรวม!N13</f>
        <v>0</v>
      </c>
      <c r="Q12" s="85"/>
    </row>
    <row r="13" spans="1:17" s="405" customFormat="1" ht="18.75">
      <c r="A13" s="374" t="s">
        <v>100</v>
      </c>
      <c r="B13" s="378">
        <v>440000</v>
      </c>
      <c r="C13" s="85">
        <f t="shared" si="1"/>
        <v>298662.48</v>
      </c>
      <c r="D13" s="85"/>
      <c r="E13" s="520">
        <f t="shared" si="0"/>
        <v>298662.48</v>
      </c>
      <c r="F13" s="85">
        <f>+ตามแผนงานรวม!D13</f>
        <v>253751.64</v>
      </c>
      <c r="G13" s="85">
        <f>+ตามแผนงานรวม!E13</f>
        <v>0</v>
      </c>
      <c r="H13" s="85">
        <f>+ตามแผนงานรวม!F13</f>
        <v>44910.84</v>
      </c>
      <c r="I13" s="85">
        <f>+ตามแผนงานรวม!G13</f>
        <v>0</v>
      </c>
      <c r="J13" s="85">
        <f>+ตามแผนงานรวม!H13</f>
        <v>0</v>
      </c>
      <c r="K13" s="85">
        <f>+ตามแผนงานรวม!I13</f>
        <v>0</v>
      </c>
      <c r="L13" s="85">
        <f>+ตามแผนงานรวม!J13</f>
        <v>0</v>
      </c>
      <c r="M13" s="85">
        <f>+ตามแผนงานรวม!K13</f>
        <v>0</v>
      </c>
      <c r="N13" s="85">
        <f>+ตามแผนงานรวม!L13</f>
        <v>0</v>
      </c>
      <c r="O13" s="85">
        <f>+ตามแผนงานรวม!M13</f>
        <v>0</v>
      </c>
      <c r="P13" s="85">
        <f>+ตามแผนงานรวม!N14</f>
        <v>0</v>
      </c>
      <c r="Q13" s="85"/>
    </row>
    <row r="14" spans="1:17" s="405" customFormat="1" ht="18.75">
      <c r="A14" s="374" t="s">
        <v>165</v>
      </c>
      <c r="B14" s="378">
        <v>92200</v>
      </c>
      <c r="C14" s="85">
        <f t="shared" si="1"/>
        <v>85800</v>
      </c>
      <c r="D14" s="85"/>
      <c r="E14" s="520">
        <f t="shared" si="0"/>
        <v>85800</v>
      </c>
      <c r="F14" s="85">
        <f>+ตามแผนงานรวม!D14</f>
        <v>71800</v>
      </c>
      <c r="G14" s="85">
        <f>+ตามแผนงานรวม!E14</f>
        <v>6000</v>
      </c>
      <c r="H14" s="85">
        <f>+ตามแผนงานรวม!F14</f>
        <v>0</v>
      </c>
      <c r="I14" s="85">
        <f>+ตามแผนงานรวม!G14</f>
        <v>0</v>
      </c>
      <c r="J14" s="85">
        <f>+ตามแผนงานรวม!H14</f>
        <v>0</v>
      </c>
      <c r="K14" s="85">
        <f>+ตามแผนงานรวม!I14</f>
        <v>8000</v>
      </c>
      <c r="L14" s="85">
        <f>+ตามแผนงานรวม!J14</f>
        <v>0</v>
      </c>
      <c r="M14" s="85">
        <f>+ตามแผนงานรวม!K14</f>
        <v>0</v>
      </c>
      <c r="N14" s="85">
        <f>+ตามแผนงานรวม!L14</f>
        <v>0</v>
      </c>
      <c r="O14" s="85">
        <f>+ตามแผนงานรวม!M14</f>
        <v>0</v>
      </c>
      <c r="P14" s="85">
        <f>+ตามแผนงานรวม!N15</f>
        <v>0</v>
      </c>
      <c r="Q14" s="85"/>
    </row>
    <row r="15" spans="1:17" s="405" customFormat="1" ht="18.75">
      <c r="A15" s="374" t="s">
        <v>166</v>
      </c>
      <c r="B15" s="378">
        <v>2424486</v>
      </c>
      <c r="C15" s="85">
        <f t="shared" si="1"/>
        <v>2413000</v>
      </c>
      <c r="D15" s="85">
        <f>+ที่ดินและสิ่งก่อสร้าง!D20</f>
        <v>3646763.24</v>
      </c>
      <c r="E15" s="520">
        <f t="shared" si="0"/>
        <v>2413000</v>
      </c>
      <c r="F15" s="85">
        <f>+ตามแผนงานรวม!D15</f>
        <v>0</v>
      </c>
      <c r="G15" s="85">
        <f>+ตามแผนงานรวม!E15</f>
        <v>0</v>
      </c>
      <c r="H15" s="85">
        <f>+ตามแผนงานรวม!F15</f>
        <v>61000</v>
      </c>
      <c r="I15" s="85">
        <f>+ตามแผนงานรวม!G15</f>
        <v>0</v>
      </c>
      <c r="J15" s="85">
        <f>+ตามแผนงานรวม!H15</f>
        <v>0</v>
      </c>
      <c r="K15" s="85">
        <f>+ตามแผนงานรวม!I15</f>
        <v>2352000</v>
      </c>
      <c r="L15" s="85">
        <f>+ตามแผนงานรวม!J15</f>
        <v>0</v>
      </c>
      <c r="M15" s="85">
        <f>+ตามแผนงานรวม!K15</f>
        <v>0</v>
      </c>
      <c r="N15" s="85">
        <f>+ตามแผนงานรวม!L15</f>
        <v>0</v>
      </c>
      <c r="O15" s="85">
        <f>+ตามแผนงานรวม!M15</f>
        <v>0</v>
      </c>
      <c r="P15" s="85">
        <f>+ตามแผนงานรวม!N17</f>
        <v>0</v>
      </c>
      <c r="Q15" s="85"/>
    </row>
    <row r="16" spans="1:17" s="405" customFormat="1" ht="18.75">
      <c r="A16" s="374" t="s">
        <v>48</v>
      </c>
      <c r="B16" s="378">
        <v>20000</v>
      </c>
      <c r="C16" s="85">
        <f t="shared" si="1"/>
        <v>18000</v>
      </c>
      <c r="D16" s="85"/>
      <c r="E16" s="520">
        <f t="shared" si="0"/>
        <v>18000</v>
      </c>
      <c r="F16" s="85">
        <f>+ตามแผนงานรวม!D17</f>
        <v>18000</v>
      </c>
      <c r="G16" s="85">
        <f>+ตามแผนงานรวม!E17</f>
        <v>0</v>
      </c>
      <c r="H16" s="85">
        <f>+ตามแผนงานรวม!F17</f>
        <v>0</v>
      </c>
      <c r="I16" s="85">
        <f>+ตามแผนงานรวม!G17</f>
        <v>0</v>
      </c>
      <c r="J16" s="85">
        <f>+ตามแผนงานรวม!H17</f>
        <v>0</v>
      </c>
      <c r="K16" s="85">
        <f>+ตามแผนงานรวม!I17</f>
        <v>0</v>
      </c>
      <c r="L16" s="85">
        <f>+ตามแผนงานรวม!J17</f>
        <v>0</v>
      </c>
      <c r="M16" s="85">
        <f>+ตามแผนงานรวม!K17</f>
        <v>0</v>
      </c>
      <c r="N16" s="85">
        <f>+ตามแผนงานรวม!L17</f>
        <v>0</v>
      </c>
      <c r="O16" s="85">
        <f>+ตามแผนงานรวม!M17</f>
        <v>0</v>
      </c>
      <c r="P16" s="85">
        <f>+ตามแผนงานรวม!N18</f>
        <v>0</v>
      </c>
      <c r="Q16" s="85"/>
    </row>
    <row r="17" spans="1:17" s="405" customFormat="1" ht="18.75">
      <c r="A17" s="525" t="s">
        <v>28</v>
      </c>
      <c r="B17" s="526">
        <v>1244514</v>
      </c>
      <c r="C17" s="85">
        <f t="shared" si="1"/>
        <v>1204513.81</v>
      </c>
      <c r="D17" s="103"/>
      <c r="E17" s="527">
        <f t="shared" si="0"/>
        <v>1204513.81</v>
      </c>
      <c r="F17" s="85">
        <f>+ตามแผนงานรวม!D18</f>
        <v>15000</v>
      </c>
      <c r="G17" s="85">
        <f>+ตามแผนงานรวม!E18</f>
        <v>0</v>
      </c>
      <c r="H17" s="85">
        <f>+ตามแผนงานรวม!F18</f>
        <v>1000000</v>
      </c>
      <c r="I17" s="85">
        <f>+ตามแผนงานรวม!G18</f>
        <v>98000</v>
      </c>
      <c r="J17" s="85">
        <f>+ตามแผนงานรวม!H18</f>
        <v>0</v>
      </c>
      <c r="K17" s="85">
        <f>+ตามแผนงานรวม!I18</f>
        <v>29513.809999999998</v>
      </c>
      <c r="L17" s="85">
        <f>+ตามแผนงานรวม!J18</f>
        <v>42000</v>
      </c>
      <c r="M17" s="85">
        <f>+ตามแผนงานรวม!K18</f>
        <v>20000</v>
      </c>
      <c r="N17" s="85">
        <f>+ตามแผนงานรวม!L19</f>
        <v>0</v>
      </c>
      <c r="O17" s="85">
        <f>+ตามแผนงานรวม!M18</f>
        <v>0</v>
      </c>
      <c r="P17" s="85">
        <f>+ตามแผนงานรวม!N19</f>
        <v>0</v>
      </c>
      <c r="Q17" s="103"/>
    </row>
    <row r="18" spans="1:17" s="405" customFormat="1" ht="25.5" customHeight="1" thickBot="1">
      <c r="A18" s="508" t="s">
        <v>167</v>
      </c>
      <c r="B18" s="528">
        <f>SUM(B7:B17)</f>
        <v>25500000</v>
      </c>
      <c r="C18" s="528">
        <f>SUM(C7:C17)</f>
        <v>23416563.189999998</v>
      </c>
      <c r="D18" s="528">
        <f>SUM(D7:D17)</f>
        <v>3646763.24</v>
      </c>
      <c r="E18" s="528">
        <f>SUM(E7:E17)</f>
        <v>23416563.189999998</v>
      </c>
      <c r="F18" s="507">
        <f>SUM(F7:F17)</f>
        <v>7802826.409999999</v>
      </c>
      <c r="G18" s="507">
        <f aca="true" t="shared" si="2" ref="G18:Q18">SUM(G7:G17)</f>
        <v>37250</v>
      </c>
      <c r="H18" s="507">
        <f t="shared" si="2"/>
        <v>4686930.66</v>
      </c>
      <c r="I18" s="507">
        <f t="shared" si="2"/>
        <v>1077275</v>
      </c>
      <c r="J18" s="507">
        <f t="shared" si="2"/>
        <v>558540</v>
      </c>
      <c r="K18" s="507">
        <f t="shared" si="2"/>
        <v>3952509.12</v>
      </c>
      <c r="L18" s="507">
        <f t="shared" si="2"/>
        <v>248654</v>
      </c>
      <c r="M18" s="507">
        <f t="shared" si="2"/>
        <v>400690</v>
      </c>
      <c r="N18" s="507">
        <f t="shared" si="2"/>
        <v>0</v>
      </c>
      <c r="O18" s="507">
        <f t="shared" si="2"/>
        <v>106660</v>
      </c>
      <c r="P18" s="507">
        <f t="shared" si="2"/>
        <v>0</v>
      </c>
      <c r="Q18" s="507">
        <f t="shared" si="2"/>
        <v>4545228</v>
      </c>
    </row>
    <row r="19" spans="1:17" s="405" customFormat="1" ht="19.5" thickTop="1">
      <c r="A19" s="529" t="s">
        <v>32</v>
      </c>
      <c r="B19" s="530"/>
      <c r="C19" s="520"/>
      <c r="D19" s="520"/>
      <c r="E19" s="520"/>
      <c r="F19" s="531"/>
      <c r="G19" s="531"/>
      <c r="H19" s="520"/>
      <c r="I19" s="531"/>
      <c r="J19" s="531"/>
      <c r="K19" s="531"/>
      <c r="L19" s="531"/>
      <c r="M19" s="531"/>
      <c r="N19" s="531"/>
      <c r="O19" s="531"/>
      <c r="P19" s="531"/>
      <c r="Q19" s="531"/>
    </row>
    <row r="20" spans="1:17" s="83" customFormat="1" ht="18.75">
      <c r="A20" s="89" t="s">
        <v>41</v>
      </c>
      <c r="B20" s="524">
        <v>135000</v>
      </c>
      <c r="C20" s="85">
        <v>196283.28</v>
      </c>
      <c r="D20" s="85"/>
      <c r="E20" s="85">
        <v>196283.28</v>
      </c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</row>
    <row r="21" spans="1:17" s="83" customFormat="1" ht="18.75">
      <c r="A21" s="89" t="s">
        <v>42</v>
      </c>
      <c r="B21" s="524">
        <v>121000</v>
      </c>
      <c r="C21" s="85">
        <v>111315.1</v>
      </c>
      <c r="D21" s="85"/>
      <c r="E21" s="85">
        <v>111315.1</v>
      </c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</row>
    <row r="22" spans="1:17" s="83" customFormat="1" ht="18.75">
      <c r="A22" s="374" t="s">
        <v>262</v>
      </c>
      <c r="B22" s="378">
        <v>0</v>
      </c>
      <c r="C22" s="85">
        <v>0</v>
      </c>
      <c r="D22" s="85"/>
      <c r="E22" s="85">
        <v>0</v>
      </c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</row>
    <row r="23" spans="1:17" s="83" customFormat="1" ht="18.75">
      <c r="A23" s="374" t="s">
        <v>51</v>
      </c>
      <c r="B23" s="378">
        <v>131000</v>
      </c>
      <c r="C23" s="85">
        <v>134247.2</v>
      </c>
      <c r="D23" s="85"/>
      <c r="E23" s="85">
        <v>134247.2</v>
      </c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</row>
    <row r="24" spans="1:17" s="83" customFormat="1" ht="18.75">
      <c r="A24" s="374" t="s">
        <v>43</v>
      </c>
      <c r="B24" s="378">
        <v>16000</v>
      </c>
      <c r="C24" s="85">
        <v>6810.5</v>
      </c>
      <c r="D24" s="85"/>
      <c r="E24" s="85">
        <v>6810.5</v>
      </c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</row>
    <row r="25" spans="1:17" s="83" customFormat="1" ht="18.75">
      <c r="A25" s="374" t="s">
        <v>44</v>
      </c>
      <c r="B25" s="378">
        <v>0</v>
      </c>
      <c r="C25" s="85">
        <v>0</v>
      </c>
      <c r="D25" s="85"/>
      <c r="E25" s="85">
        <v>0</v>
      </c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</row>
    <row r="26" spans="1:17" s="83" customFormat="1" ht="18.75">
      <c r="A26" s="374" t="s">
        <v>263</v>
      </c>
      <c r="B26" s="378">
        <v>13597000</v>
      </c>
      <c r="C26" s="85">
        <v>15202338.8</v>
      </c>
      <c r="D26" s="85"/>
      <c r="E26" s="85">
        <v>15202338.8</v>
      </c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</row>
    <row r="27" spans="1:17" s="83" customFormat="1" ht="18.75">
      <c r="A27" s="374" t="s">
        <v>264</v>
      </c>
      <c r="B27" s="378">
        <v>11500000</v>
      </c>
      <c r="C27" s="85">
        <v>10050915</v>
      </c>
      <c r="D27" s="85"/>
      <c r="E27" s="85">
        <v>10050915</v>
      </c>
      <c r="F27" s="378"/>
      <c r="G27" s="378"/>
      <c r="H27" s="378"/>
      <c r="I27" s="378"/>
      <c r="J27" s="378"/>
      <c r="K27" s="378"/>
      <c r="L27" s="378"/>
      <c r="M27" s="378"/>
      <c r="N27" s="378"/>
      <c r="O27" s="85"/>
      <c r="P27" s="85"/>
      <c r="Q27" s="85"/>
    </row>
    <row r="28" spans="1:17" s="83" customFormat="1" ht="18.75">
      <c r="A28" s="374" t="s">
        <v>265</v>
      </c>
      <c r="B28" s="378">
        <v>0</v>
      </c>
      <c r="C28" s="85">
        <v>0</v>
      </c>
      <c r="D28" s="85">
        <v>3646763.24</v>
      </c>
      <c r="E28" s="85">
        <v>0</v>
      </c>
      <c r="F28" s="378"/>
      <c r="G28" s="378"/>
      <c r="H28" s="378"/>
      <c r="I28" s="378"/>
      <c r="J28" s="378"/>
      <c r="K28" s="378"/>
      <c r="L28" s="378"/>
      <c r="M28" s="378"/>
      <c r="N28" s="378"/>
      <c r="O28" s="85"/>
      <c r="P28" s="85"/>
      <c r="Q28" s="85"/>
    </row>
    <row r="29" spans="1:17" s="83" customFormat="1" ht="19.5" thickBot="1">
      <c r="A29" s="162" t="s">
        <v>38</v>
      </c>
      <c r="B29" s="532">
        <f aca="true" t="shared" si="3" ref="B29:Q29">SUM(B20:B28)</f>
        <v>25500000</v>
      </c>
      <c r="C29" s="533">
        <f t="shared" si="3"/>
        <v>25701909.880000003</v>
      </c>
      <c r="D29" s="533">
        <f t="shared" si="3"/>
        <v>3646763.24</v>
      </c>
      <c r="E29" s="533">
        <f t="shared" si="3"/>
        <v>25701909.880000003</v>
      </c>
      <c r="F29" s="533">
        <f t="shared" si="3"/>
        <v>0</v>
      </c>
      <c r="G29" s="533">
        <f t="shared" si="3"/>
        <v>0</v>
      </c>
      <c r="H29" s="533">
        <f t="shared" si="3"/>
        <v>0</v>
      </c>
      <c r="I29" s="533">
        <f t="shared" si="3"/>
        <v>0</v>
      </c>
      <c r="J29" s="533">
        <f t="shared" si="3"/>
        <v>0</v>
      </c>
      <c r="K29" s="533">
        <f t="shared" si="3"/>
        <v>0</v>
      </c>
      <c r="L29" s="533">
        <f t="shared" si="3"/>
        <v>0</v>
      </c>
      <c r="M29" s="533">
        <f t="shared" si="3"/>
        <v>0</v>
      </c>
      <c r="N29" s="533">
        <f t="shared" si="3"/>
        <v>0</v>
      </c>
      <c r="O29" s="533">
        <f t="shared" si="3"/>
        <v>0</v>
      </c>
      <c r="P29" s="533">
        <f t="shared" si="3"/>
        <v>0</v>
      </c>
      <c r="Q29" s="533">
        <f t="shared" si="3"/>
        <v>0</v>
      </c>
    </row>
    <row r="30" spans="1:5" s="83" customFormat="1" ht="20.25" thickBot="1" thickTop="1">
      <c r="A30" s="453" t="s">
        <v>168</v>
      </c>
      <c r="C30" s="534"/>
      <c r="D30" s="535"/>
      <c r="E30" s="536">
        <f>+E29-E18</f>
        <v>2285346.690000005</v>
      </c>
    </row>
    <row r="31" s="83" customFormat="1" ht="27.75" customHeight="1" thickTop="1"/>
    <row r="32" s="83" customFormat="1" ht="27.75" customHeight="1">
      <c r="A32" s="83" t="s">
        <v>266</v>
      </c>
    </row>
    <row r="33" s="83" customFormat="1" ht="27.75" customHeight="1"/>
    <row r="34" s="83" customFormat="1" ht="18.75"/>
    <row r="35" spans="2:15" ht="21">
      <c r="B35" s="630" t="s">
        <v>338</v>
      </c>
      <c r="C35" s="630"/>
      <c r="E35" s="2"/>
      <c r="F35" s="2"/>
      <c r="G35" s="2"/>
      <c r="H35" s="630" t="s">
        <v>339</v>
      </c>
      <c r="I35" s="630"/>
      <c r="J35" s="2"/>
      <c r="M35" s="590" t="s">
        <v>342</v>
      </c>
      <c r="N35" s="590"/>
      <c r="O35" s="590"/>
    </row>
    <row r="36" spans="2:15" ht="21">
      <c r="B36" s="630" t="s">
        <v>340</v>
      </c>
      <c r="C36" s="630"/>
      <c r="E36" s="2"/>
      <c r="F36" s="2"/>
      <c r="G36" s="2"/>
      <c r="H36" s="630" t="s">
        <v>372</v>
      </c>
      <c r="I36" s="630"/>
      <c r="J36" s="2"/>
      <c r="M36" s="590" t="s">
        <v>705</v>
      </c>
      <c r="N36" s="590"/>
      <c r="O36" s="590"/>
    </row>
  </sheetData>
  <sheetProtection/>
  <mergeCells count="9">
    <mergeCell ref="B36:C36"/>
    <mergeCell ref="H36:I36"/>
    <mergeCell ref="M36:O36"/>
    <mergeCell ref="A1:Q1"/>
    <mergeCell ref="A2:Q2"/>
    <mergeCell ref="A3:Q3"/>
    <mergeCell ref="B35:C35"/>
    <mergeCell ref="H35:I35"/>
    <mergeCell ref="M35:O35"/>
  </mergeCells>
  <printOptions/>
  <pageMargins left="0.25" right="0.25" top="0.75" bottom="0.75" header="0.3" footer="0.3"/>
  <pageSetup horizontalDpi="600" verticalDpi="600" orientation="landscape" paperSize="9" scale="60" r:id="rId1"/>
  <headerFooter differentFirst="1">
    <oddHeader>&amp;Cหน้าที่ &amp;P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22">
      <selection activeCell="A36" sqref="A36:IV37"/>
    </sheetView>
  </sheetViews>
  <sheetFormatPr defaultColWidth="9.140625" defaultRowHeight="15"/>
  <cols>
    <col min="1" max="1" width="30.00390625" style="1" customWidth="1"/>
    <col min="2" max="2" width="17.28125" style="1" customWidth="1"/>
    <col min="3" max="3" width="16.57421875" style="1" customWidth="1"/>
    <col min="4" max="4" width="15.140625" style="1" customWidth="1"/>
    <col min="5" max="6" width="15.7109375" style="1" customWidth="1"/>
    <col min="7" max="7" width="14.57421875" style="1" customWidth="1"/>
    <col min="8" max="8" width="15.7109375" style="1" customWidth="1"/>
    <col min="9" max="9" width="15.28125" style="1" customWidth="1"/>
    <col min="10" max="10" width="13.28125" style="1" customWidth="1"/>
    <col min="11" max="11" width="15.00390625" style="1" customWidth="1"/>
    <col min="12" max="12" width="14.00390625" style="1" customWidth="1"/>
    <col min="13" max="13" width="12.7109375" style="1" customWidth="1"/>
    <col min="14" max="14" width="10.57421875" style="1" customWidth="1"/>
    <col min="15" max="15" width="12.421875" style="1" customWidth="1"/>
    <col min="16" max="16" width="13.421875" style="1" customWidth="1"/>
    <col min="17" max="17" width="14.8515625" style="1" customWidth="1"/>
    <col min="18" max="16384" width="9.00390625" style="1" customWidth="1"/>
  </cols>
  <sheetData>
    <row r="1" spans="1:17" ht="19.5">
      <c r="A1" s="632" t="str">
        <f>+งบแสดงฐานะการเงิน!A1</f>
        <v>องค์การบริหารส่วนตำบลโพนทอง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  <c r="O1" s="632"/>
      <c r="P1" s="632"/>
      <c r="Q1" s="632"/>
    </row>
    <row r="2" spans="1:17" ht="19.5">
      <c r="A2" s="632" t="s">
        <v>169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  <c r="N2" s="632"/>
      <c r="O2" s="632"/>
      <c r="P2" s="632"/>
      <c r="Q2" s="632"/>
    </row>
    <row r="3" spans="1:17" ht="19.5">
      <c r="A3" s="632" t="str">
        <f>+'ตามแผนงาน 1'!A3:F3</f>
        <v>ตั้งแต่วันที่  1  ตุลาคม 2560  ถึง  30 กันยายน 2561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2"/>
      <c r="P3" s="632"/>
      <c r="Q3" s="632"/>
    </row>
    <row r="4" ht="12.75" customHeight="1"/>
    <row r="5" spans="1:17" s="112" customFormat="1" ht="97.5">
      <c r="A5" s="183" t="s">
        <v>31</v>
      </c>
      <c r="B5" s="183" t="s">
        <v>29</v>
      </c>
      <c r="C5" s="182" t="s">
        <v>260</v>
      </c>
      <c r="D5" s="182" t="s">
        <v>261</v>
      </c>
      <c r="E5" s="183" t="s">
        <v>68</v>
      </c>
      <c r="F5" s="20" t="s">
        <v>151</v>
      </c>
      <c r="G5" s="20" t="s">
        <v>152</v>
      </c>
      <c r="H5" s="21" t="s">
        <v>153</v>
      </c>
      <c r="I5" s="20" t="s">
        <v>174</v>
      </c>
      <c r="J5" s="20" t="s">
        <v>154</v>
      </c>
      <c r="K5" s="20" t="s">
        <v>155</v>
      </c>
      <c r="L5" s="20" t="s">
        <v>156</v>
      </c>
      <c r="M5" s="20" t="s">
        <v>157</v>
      </c>
      <c r="N5" s="20" t="s">
        <v>158</v>
      </c>
      <c r="O5" s="20" t="s">
        <v>159</v>
      </c>
      <c r="P5" s="20" t="s">
        <v>160</v>
      </c>
      <c r="Q5" s="22" t="s">
        <v>49</v>
      </c>
    </row>
    <row r="6" spans="1:17" s="112" customFormat="1" ht="19.5">
      <c r="A6" s="35" t="s">
        <v>33</v>
      </c>
      <c r="B6" s="37"/>
      <c r="C6" s="40"/>
      <c r="D6" s="181"/>
      <c r="E6" s="184"/>
      <c r="F6" s="39"/>
      <c r="G6" s="39"/>
      <c r="H6" s="38"/>
      <c r="I6" s="39"/>
      <c r="J6" s="39"/>
      <c r="K6" s="39"/>
      <c r="L6" s="39"/>
      <c r="M6" s="39"/>
      <c r="N6" s="39"/>
      <c r="O6" s="39"/>
      <c r="P6" s="39"/>
      <c r="Q6" s="39"/>
    </row>
    <row r="7" spans="1:17" s="112" customFormat="1" ht="19.5">
      <c r="A7" s="114" t="s">
        <v>49</v>
      </c>
      <c r="B7" s="93">
        <f>+งบแสดงผลจ่ายจากเงินรายรับ!B7</f>
        <v>5206800</v>
      </c>
      <c r="C7" s="30">
        <f>+งบแสดงผลจ่ายจากเงินรายรับ!C7</f>
        <v>4545228</v>
      </c>
      <c r="D7" s="101">
        <f>+งบแสดงผลจ่ายจากเงินรายรับ!D7</f>
        <v>0</v>
      </c>
      <c r="E7" s="43">
        <f aca="true" t="shared" si="0" ref="E7:E17">SUM(F7:Q7)</f>
        <v>4545228</v>
      </c>
      <c r="F7" s="42">
        <f>+งบแสดงผลจ่ายจากเงินรายรับ!F7</f>
        <v>0</v>
      </c>
      <c r="G7" s="42">
        <f>+งบแสดงผลจ่ายจากเงินรายรับ!G7</f>
        <v>0</v>
      </c>
      <c r="H7" s="41">
        <f>+งบแสดงผลจ่ายจากเงินรายรับ!H7</f>
        <v>0</v>
      </c>
      <c r="I7" s="42">
        <f>+งบแสดงผลจ่ายจากเงินรายรับ!I7</f>
        <v>0</v>
      </c>
      <c r="J7" s="42">
        <f>+งบแสดงผลจ่ายจากเงินรายรับ!J7</f>
        <v>0</v>
      </c>
      <c r="K7" s="42">
        <f>+งบแสดงผลจ่ายจากเงินรายรับ!K7</f>
        <v>0</v>
      </c>
      <c r="L7" s="42">
        <f>+งบแสดงผลจ่ายจากเงินรายรับ!L7</f>
        <v>0</v>
      </c>
      <c r="M7" s="42">
        <f>+งบแสดงผลจ่ายจากเงินรายรับ!M7</f>
        <v>0</v>
      </c>
      <c r="N7" s="42">
        <f>+งบแสดงผลจ่ายจากเงินรายรับ!N7</f>
        <v>0</v>
      </c>
      <c r="O7" s="42">
        <f>+งบแสดงผลจ่ายจากเงินรายรับ!O7</f>
        <v>0</v>
      </c>
      <c r="P7" s="42">
        <f>+งบแสดงผลจ่ายจากเงินรายรับ!P7</f>
        <v>0</v>
      </c>
      <c r="Q7" s="42">
        <f>+งบแสดงผลจ่ายจากเงินรายรับ!Q7</f>
        <v>4545228</v>
      </c>
    </row>
    <row r="8" spans="1:17" s="112" customFormat="1" ht="19.5">
      <c r="A8" s="26" t="s">
        <v>97</v>
      </c>
      <c r="B8" s="93">
        <f>+งบแสดงผลจ่ายจากเงินรายรับ!B8</f>
        <v>2225520</v>
      </c>
      <c r="C8" s="30">
        <f>+งบแสดงผลจ่ายจากเงินรายรับ!C8</f>
        <v>2191981</v>
      </c>
      <c r="D8" s="101">
        <f>+งบแสดงผลจ่ายจากเงินรายรับ!D8</f>
        <v>0</v>
      </c>
      <c r="E8" s="43">
        <f t="shared" si="0"/>
        <v>2191981</v>
      </c>
      <c r="F8" s="42">
        <f>+งบแสดงผลจ่ายจากเงินรายรับ!F8</f>
        <v>2191981</v>
      </c>
      <c r="G8" s="42">
        <f>+งบแสดงผลจ่ายจากเงินรายรับ!G8</f>
        <v>0</v>
      </c>
      <c r="H8" s="41">
        <f>+งบแสดงผลจ่ายจากเงินรายรับ!H8</f>
        <v>0</v>
      </c>
      <c r="I8" s="42">
        <f>+งบแสดงผลจ่ายจากเงินรายรับ!I8</f>
        <v>0</v>
      </c>
      <c r="J8" s="30"/>
      <c r="K8" s="42">
        <f>+งบแสดงผลจ่ายจากเงินรายรับ!K8</f>
        <v>0</v>
      </c>
      <c r="L8" s="30"/>
      <c r="M8" s="42">
        <f>+งบแสดงผลจ่ายจากเงินรายรับ!M8</f>
        <v>0</v>
      </c>
      <c r="N8" s="42">
        <f>+งบแสดงผลจ่ายจากเงินรายรับ!N8</f>
        <v>0</v>
      </c>
      <c r="O8" s="42">
        <f>+งบแสดงผลจ่ายจากเงินรายรับ!O8</f>
        <v>0</v>
      </c>
      <c r="P8" s="42">
        <f>+งบแสดงผลจ่ายจากเงินรายรับ!P8</f>
        <v>0</v>
      </c>
      <c r="Q8" s="42">
        <f>+งบแสดงผลจ่ายจากเงินรายรับ!Q8</f>
        <v>0</v>
      </c>
    </row>
    <row r="9" spans="1:17" s="112" customFormat="1" ht="19.5">
      <c r="A9" s="26" t="s">
        <v>98</v>
      </c>
      <c r="B9" s="93">
        <f>+งบแสดงผลจ่ายจากเงินรายรับ!B9</f>
        <v>7646060</v>
      </c>
      <c r="C9" s="30">
        <f>+งบแสดงผลจ่ายจากเงินรายรับ!C9</f>
        <v>7451405</v>
      </c>
      <c r="D9" s="101">
        <f>+งบแสดงผลจ่ายจากเงินรายรับ!D9</f>
        <v>0</v>
      </c>
      <c r="E9" s="43">
        <f t="shared" si="0"/>
        <v>7451405</v>
      </c>
      <c r="F9" s="42">
        <f>+งบแสดงผลจ่ายจากเงินรายรับ!F9</f>
        <v>3917285</v>
      </c>
      <c r="G9" s="42">
        <f>+งบแสดงผลจ่ายจากเงินรายรับ!G9</f>
        <v>0</v>
      </c>
      <c r="H9" s="41">
        <f>+งบแสดงผลจ่ายจากเงินรายรับ!H9</f>
        <v>1707820</v>
      </c>
      <c r="I9" s="42">
        <f>+งบแสดงผลจ่ายจากเงินรายรับ!I9</f>
        <v>711000</v>
      </c>
      <c r="J9" s="42">
        <f>+งบแสดงผลจ่ายจากเงินรายรับ!J9</f>
        <v>483120</v>
      </c>
      <c r="K9" s="42">
        <f>+งบแสดงผลจ่ายจากเงินรายรับ!K9</f>
        <v>632180</v>
      </c>
      <c r="L9" s="42">
        <f>+งบแสดงผลจ่ายจากเงินรายรับ!L9</f>
        <v>0</v>
      </c>
      <c r="M9" s="42">
        <f>+งบแสดงผลจ่ายจากเงินรายรับ!M9</f>
        <v>0</v>
      </c>
      <c r="N9" s="42">
        <f>+งบแสดงผลจ่ายจากเงินรายรับ!N9</f>
        <v>0</v>
      </c>
      <c r="O9" s="42">
        <f>+งบแสดงผลจ่ายจากเงินรายรับ!O9</f>
        <v>0</v>
      </c>
      <c r="P9" s="42">
        <f>+งบแสดงผลจ่ายจากเงินรายรับ!P9</f>
        <v>0</v>
      </c>
      <c r="Q9" s="42">
        <f>+งบแสดงผลจ่ายจากเงินรายรับ!Q9</f>
        <v>0</v>
      </c>
    </row>
    <row r="10" spans="1:17" s="112" customFormat="1" ht="19.5">
      <c r="A10" s="113" t="s">
        <v>45</v>
      </c>
      <c r="B10" s="93">
        <f>+งบแสดงผลจ่ายจากเงินรายรับ!B10</f>
        <v>771000</v>
      </c>
      <c r="C10" s="30">
        <f>+งบแสดงผลจ่ายจากเงินรายรับ!C10</f>
        <v>699330</v>
      </c>
      <c r="D10" s="101">
        <f>+งบแสดงผลจ่ายจากเงินรายรับ!D10</f>
        <v>0</v>
      </c>
      <c r="E10" s="43">
        <f t="shared" si="0"/>
        <v>699330</v>
      </c>
      <c r="F10" s="42">
        <f>+งบแสดงผลจ่ายจากเงินรายรับ!F10</f>
        <v>381400</v>
      </c>
      <c r="G10" s="42">
        <f>+งบแสดงผลจ่ายจากเงินรายรับ!G10</f>
        <v>0</v>
      </c>
      <c r="H10" s="41">
        <f>+งบแสดงผลจ่ายจากเงินรายรับ!H10</f>
        <v>155330</v>
      </c>
      <c r="I10" s="42">
        <f>+งบแสดงผลจ่ายจากเงินรายรับ!I10</f>
        <v>60460</v>
      </c>
      <c r="J10" s="42">
        <f>+งบแสดงผลจ่ายจากเงินรายรับ!J10</f>
        <v>42040</v>
      </c>
      <c r="K10" s="42">
        <f>+งบแสดงผลจ่ายจากเงินรายรับ!K10</f>
        <v>60100</v>
      </c>
      <c r="L10" s="42">
        <f>+งบแสดงผลจ่ายจากเงินรายรับ!L10</f>
        <v>0</v>
      </c>
      <c r="M10" s="42">
        <f>+งบแสดงผลจ่ายจากเงินรายรับ!M10</f>
        <v>0</v>
      </c>
      <c r="N10" s="42">
        <f>+งบแสดงผลจ่ายจากเงินรายรับ!N10</f>
        <v>0</v>
      </c>
      <c r="O10" s="42">
        <f>+งบแสดงผลจ่ายจากเงินรายรับ!O10</f>
        <v>0</v>
      </c>
      <c r="P10" s="42">
        <f>+งบแสดงผลจ่ายจากเงินรายรับ!P10</f>
        <v>0</v>
      </c>
      <c r="Q10" s="42">
        <f>+งบแสดงผลจ่ายจากเงินรายรับ!Q10</f>
        <v>0</v>
      </c>
    </row>
    <row r="11" spans="1:17" s="112" customFormat="1" ht="19.5">
      <c r="A11" s="113" t="s">
        <v>46</v>
      </c>
      <c r="B11" s="93">
        <f>+งบแสดงผลจ่ายจากเงินรายรับ!B11</f>
        <v>3833700</v>
      </c>
      <c r="C11" s="30">
        <f>+งบแสดงผลจ่ายจากเงินรายรับ!C11</f>
        <v>3210955.9299999997</v>
      </c>
      <c r="D11" s="101">
        <f>+งบแสดงผลจ่ายจากเงินรายรับ!D11</f>
        <v>0</v>
      </c>
      <c r="E11" s="43">
        <f t="shared" si="0"/>
        <v>3210955.9299999997</v>
      </c>
      <c r="F11" s="42">
        <f>+งบแสดงผลจ่ายจากเงินรายรับ!F11</f>
        <v>631848.22</v>
      </c>
      <c r="G11" s="42">
        <f>+งบแสดงผลจ่ายจากเงินรายรับ!G11</f>
        <v>31250</v>
      </c>
      <c r="H11" s="41">
        <f>+งบแสดงผลจ่ายจากเงินรายรับ!H11</f>
        <v>904365</v>
      </c>
      <c r="I11" s="42">
        <f>+งบแสดงผลจ่ายจากเงินรายรับ!I11</f>
        <v>189185</v>
      </c>
      <c r="J11" s="42">
        <f>+งบแสดงผลจ่ายจากเงินรายรับ!J11</f>
        <v>24264</v>
      </c>
      <c r="K11" s="42">
        <f>+งบแสดงผลจ่ายจากเงินรายรับ!K11</f>
        <v>766039.71</v>
      </c>
      <c r="L11" s="42">
        <f>+งบแสดงผลจ่ายจากเงินรายรับ!L11</f>
        <v>206654</v>
      </c>
      <c r="M11" s="42">
        <f>+งบแสดงผลจ่ายจากเงินรายรับ!M11</f>
        <v>350690</v>
      </c>
      <c r="N11" s="42">
        <f>+งบแสดงผลจ่ายจากเงินรายรับ!N11</f>
        <v>0</v>
      </c>
      <c r="O11" s="42">
        <f>+งบแสดงผลจ่ายจากเงินรายรับ!O11</f>
        <v>106660</v>
      </c>
      <c r="P11" s="42">
        <f>+งบแสดงผลจ่ายจากเงินรายรับ!P11</f>
        <v>0</v>
      </c>
      <c r="Q11" s="42">
        <f>+งบแสดงผลจ่ายจากเงินรายรับ!Q11</f>
        <v>0</v>
      </c>
    </row>
    <row r="12" spans="1:17" s="112" customFormat="1" ht="19.5">
      <c r="A12" s="113" t="s">
        <v>47</v>
      </c>
      <c r="B12" s="93">
        <f>+งบแสดงผลจ่ายจากเงินรายรับ!B12</f>
        <v>1595720</v>
      </c>
      <c r="C12" s="30">
        <f>+งบแสดงผลจ่ายจากเงินรายรับ!C12</f>
        <v>1297686.9700000002</v>
      </c>
      <c r="D12" s="101">
        <f>+งบแสดงผลจ่ายจากเงินรายรับ!D12</f>
        <v>0</v>
      </c>
      <c r="E12" s="43">
        <f t="shared" si="0"/>
        <v>1297686.9700000002</v>
      </c>
      <c r="F12" s="42">
        <f>+งบแสดงผลจ่ายจากเงินรายรับ!F12</f>
        <v>321760.55000000005</v>
      </c>
      <c r="G12" s="42">
        <f>+งบแสดงผลจ่ายจากเงินรายรับ!G12</f>
        <v>0</v>
      </c>
      <c r="H12" s="41">
        <f>+งบแสดงผลจ่ายจากเงินรายรับ!H12</f>
        <v>813504.82</v>
      </c>
      <c r="I12" s="42">
        <f>+งบแสดงผลจ่ายจากเงินรายรับ!I12</f>
        <v>18630</v>
      </c>
      <c r="J12" s="42">
        <f>+งบแสดงผลจ่ายจากเงินรายรับ!J12</f>
        <v>9116</v>
      </c>
      <c r="K12" s="42">
        <f>+งบแสดงผลจ่ายจากเงินรายรับ!K12</f>
        <v>104675.6</v>
      </c>
      <c r="L12" s="42">
        <f>+งบแสดงผลจ่ายจากเงินรายรับ!L12</f>
        <v>0</v>
      </c>
      <c r="M12" s="42">
        <f>+งบแสดงผลจ่ายจากเงินรายรับ!M12</f>
        <v>30000</v>
      </c>
      <c r="N12" s="42">
        <f>+งบแสดงผลจ่ายจากเงินรายรับ!N12</f>
        <v>0</v>
      </c>
      <c r="O12" s="42">
        <f>+งบแสดงผลจ่ายจากเงินรายรับ!O12</f>
        <v>0</v>
      </c>
      <c r="P12" s="42">
        <f>+งบแสดงผลจ่ายจากเงินรายรับ!P12</f>
        <v>0</v>
      </c>
      <c r="Q12" s="42">
        <f>+งบแสดงผลจ่ายจากเงินรายรับ!Q12</f>
        <v>0</v>
      </c>
    </row>
    <row r="13" spans="1:17" s="112" customFormat="1" ht="19.5">
      <c r="A13" s="113" t="s">
        <v>100</v>
      </c>
      <c r="B13" s="93">
        <f>+งบแสดงผลจ่ายจากเงินรายรับ!B13</f>
        <v>440000</v>
      </c>
      <c r="C13" s="30">
        <f>+งบแสดงผลจ่ายจากเงินรายรับ!C13</f>
        <v>298662.48</v>
      </c>
      <c r="D13" s="101">
        <f>+งบแสดงผลจ่ายจากเงินรายรับ!D13</f>
        <v>0</v>
      </c>
      <c r="E13" s="43">
        <f t="shared" si="0"/>
        <v>298662.48</v>
      </c>
      <c r="F13" s="42">
        <f>+งบแสดงผลจ่ายจากเงินรายรับ!F13</f>
        <v>253751.64</v>
      </c>
      <c r="G13" s="42">
        <f>+งบแสดงผลจ่ายจากเงินรายรับ!G13</f>
        <v>0</v>
      </c>
      <c r="H13" s="41">
        <f>+งบแสดงผลจ่ายจากเงินรายรับ!H13</f>
        <v>44910.84</v>
      </c>
      <c r="I13" s="42">
        <f>+งบแสดงผลจ่ายจากเงินรายรับ!I13</f>
        <v>0</v>
      </c>
      <c r="J13" s="42">
        <f>+งบแสดงผลจ่ายจากเงินรายรับ!J13</f>
        <v>0</v>
      </c>
      <c r="K13" s="42">
        <f>+งบแสดงผลจ่ายจากเงินรายรับ!K13</f>
        <v>0</v>
      </c>
      <c r="L13" s="42">
        <f>+งบแสดงผลจ่ายจากเงินรายรับ!L13</f>
        <v>0</v>
      </c>
      <c r="M13" s="42">
        <f>+งบแสดงผลจ่ายจากเงินรายรับ!M13</f>
        <v>0</v>
      </c>
      <c r="N13" s="42">
        <f>+งบแสดงผลจ่ายจากเงินรายรับ!N13</f>
        <v>0</v>
      </c>
      <c r="O13" s="42">
        <f>+งบแสดงผลจ่ายจากเงินรายรับ!O13</f>
        <v>0</v>
      </c>
      <c r="P13" s="42">
        <f>+งบแสดงผลจ่ายจากเงินรายรับ!P13</f>
        <v>0</v>
      </c>
      <c r="Q13" s="42">
        <f>+งบแสดงผลจ่ายจากเงินรายรับ!Q13</f>
        <v>0</v>
      </c>
    </row>
    <row r="14" spans="1:17" s="112" customFormat="1" ht="19.5">
      <c r="A14" s="113" t="s">
        <v>165</v>
      </c>
      <c r="B14" s="93">
        <f>+งบแสดงผลจ่ายจากเงินรายรับ!B14</f>
        <v>92200</v>
      </c>
      <c r="C14" s="30">
        <f>+งบแสดงผลจ่ายจากเงินรายรับ!C14</f>
        <v>85800</v>
      </c>
      <c r="D14" s="101">
        <f>+งบแสดงผลจ่ายจากเงินรายรับ!D14</f>
        <v>0</v>
      </c>
      <c r="E14" s="43">
        <f t="shared" si="0"/>
        <v>85800</v>
      </c>
      <c r="F14" s="42">
        <f>+งบแสดงผลจ่ายจากเงินรายรับ!F14</f>
        <v>71800</v>
      </c>
      <c r="G14" s="42">
        <f>+งบแสดงผลจ่ายจากเงินรายรับ!G14</f>
        <v>6000</v>
      </c>
      <c r="H14" s="41">
        <f>+งบแสดงผลจ่ายจากเงินรายรับ!H14</f>
        <v>0</v>
      </c>
      <c r="I14" s="42">
        <f>+งบแสดงผลจ่ายจากเงินรายรับ!I14</f>
        <v>0</v>
      </c>
      <c r="J14" s="42">
        <f>+งบแสดงผลจ่ายจากเงินรายรับ!J14</f>
        <v>0</v>
      </c>
      <c r="K14" s="42">
        <f>+งบแสดงผลจ่ายจากเงินรายรับ!K14</f>
        <v>8000</v>
      </c>
      <c r="L14" s="42">
        <f>+งบแสดงผลจ่ายจากเงินรายรับ!L14</f>
        <v>0</v>
      </c>
      <c r="M14" s="42">
        <f>+งบแสดงผลจ่ายจากเงินรายรับ!M14</f>
        <v>0</v>
      </c>
      <c r="N14" s="42">
        <f>+งบแสดงผลจ่ายจากเงินรายรับ!N14</f>
        <v>0</v>
      </c>
      <c r="O14" s="42">
        <f>+งบแสดงผลจ่ายจากเงินรายรับ!O14</f>
        <v>0</v>
      </c>
      <c r="P14" s="42">
        <f>+งบแสดงผลจ่ายจากเงินรายรับ!P14</f>
        <v>0</v>
      </c>
      <c r="Q14" s="42">
        <f>+งบแสดงผลจ่ายจากเงินรายรับ!Q14</f>
        <v>0</v>
      </c>
    </row>
    <row r="15" spans="1:17" s="112" customFormat="1" ht="19.5">
      <c r="A15" s="113" t="s">
        <v>166</v>
      </c>
      <c r="B15" s="93">
        <f>+งบแสดงผลจ่ายจากเงินรายรับ!B15</f>
        <v>2424486</v>
      </c>
      <c r="C15" s="30">
        <f>+งบแสดงผลจ่ายจากเงินรายรับ!C15</f>
        <v>2413000</v>
      </c>
      <c r="D15" s="101">
        <f>+ที่ดินและสิ่งก่อสร้าง!D20</f>
        <v>3646763.24</v>
      </c>
      <c r="E15" s="43">
        <f t="shared" si="0"/>
        <v>5284436</v>
      </c>
      <c r="F15" s="537">
        <v>0</v>
      </c>
      <c r="G15" s="42">
        <f>+งบแสดงผลจ่ายจากเงินรายรับ!G15</f>
        <v>0</v>
      </c>
      <c r="H15" s="41">
        <f>+งบแสดงผลจ่ายจากเงินรายรับ!H15</f>
        <v>61000</v>
      </c>
      <c r="I15" s="42">
        <f>+งบแสดงผลจ่ายจากเงินรายรับ!I15</f>
        <v>0</v>
      </c>
      <c r="J15" s="42">
        <f>+งบแสดงผลจ่ายจากเงินรายรับ!J15</f>
        <v>0</v>
      </c>
      <c r="K15" s="393">
        <f>+งบแสดงผลจ่ายจากเงินรายรับ!K15+จ่ายจากเงินสะสม!O18</f>
        <v>5223436</v>
      </c>
      <c r="L15" s="42">
        <f>+งบแสดงผลจ่ายจากเงินรายรับ!L15</f>
        <v>0</v>
      </c>
      <c r="M15" s="42">
        <f>+งบแสดงผลจ่ายจากเงินรายรับ!M15</f>
        <v>0</v>
      </c>
      <c r="N15" s="42">
        <f>+งบแสดงผลจ่ายจากเงินรายรับ!N15</f>
        <v>0</v>
      </c>
      <c r="O15" s="42">
        <f>+งบแสดงผลจ่ายจากเงินรายรับ!O15</f>
        <v>0</v>
      </c>
      <c r="P15" s="42">
        <f>+งบแสดงผลจ่ายจากเงินรายรับ!P15</f>
        <v>0</v>
      </c>
      <c r="Q15" s="42">
        <f>+งบแสดงผลจ่ายจากเงินรายรับ!Q15</f>
        <v>0</v>
      </c>
    </row>
    <row r="16" spans="1:17" s="112" customFormat="1" ht="19.5">
      <c r="A16" s="113" t="s">
        <v>48</v>
      </c>
      <c r="B16" s="93">
        <f>+งบแสดงผลจ่ายจากเงินรายรับ!B16</f>
        <v>20000</v>
      </c>
      <c r="C16" s="30">
        <f>+งบแสดงผลจ่ายจากเงินรายรับ!C16</f>
        <v>18000</v>
      </c>
      <c r="D16" s="101">
        <f>+งบแสดงผลจ่ายจากเงินรายรับ!D16</f>
        <v>0</v>
      </c>
      <c r="E16" s="43">
        <f t="shared" si="0"/>
        <v>18000</v>
      </c>
      <c r="F16" s="42">
        <f>+งบแสดงผลจ่ายจากเงินรายรับ!F16</f>
        <v>18000</v>
      </c>
      <c r="G16" s="42">
        <f>+งบแสดงผลจ่ายจากเงินรายรับ!G16</f>
        <v>0</v>
      </c>
      <c r="H16" s="41">
        <f>+งบแสดงผลจ่ายจากเงินรายรับ!H16</f>
        <v>0</v>
      </c>
      <c r="I16" s="42">
        <f>+งบแสดงผลจ่ายจากเงินรายรับ!I16</f>
        <v>0</v>
      </c>
      <c r="J16" s="42">
        <f>+งบแสดงผลจ่ายจากเงินรายรับ!J16</f>
        <v>0</v>
      </c>
      <c r="K16" s="42">
        <f>+งบแสดงผลจ่ายจากเงินรายรับ!K16</f>
        <v>0</v>
      </c>
      <c r="L16" s="42">
        <f>+งบแสดงผลจ่ายจากเงินรายรับ!L16</f>
        <v>0</v>
      </c>
      <c r="M16" s="42">
        <f>+งบแสดงผลจ่ายจากเงินรายรับ!M16</f>
        <v>0</v>
      </c>
      <c r="N16" s="42">
        <f>+งบแสดงผลจ่ายจากเงินรายรับ!N16</f>
        <v>0</v>
      </c>
      <c r="O16" s="42">
        <f>+งบแสดงผลจ่ายจากเงินรายรับ!O16</f>
        <v>0</v>
      </c>
      <c r="P16" s="42">
        <f>+งบแสดงผลจ่ายจากเงินรายรับ!P16</f>
        <v>0</v>
      </c>
      <c r="Q16" s="42">
        <f>+งบแสดงผลจ่ายจากเงินรายรับ!Q16</f>
        <v>0</v>
      </c>
    </row>
    <row r="17" spans="1:17" s="112" customFormat="1" ht="19.5">
      <c r="A17" s="33" t="s">
        <v>28</v>
      </c>
      <c r="B17" s="93">
        <f>+งบแสดงผลจ่ายจากเงินรายรับ!B17</f>
        <v>1244514</v>
      </c>
      <c r="C17" s="30">
        <f>+งบแสดงผลจ่ายจากเงินรายรับ!C17</f>
        <v>1204513.81</v>
      </c>
      <c r="D17" s="101">
        <f>+งบแสดงผลจ่ายจากเงินรายรับ!D17</f>
        <v>0</v>
      </c>
      <c r="E17" s="185">
        <f t="shared" si="0"/>
        <v>1204513.81</v>
      </c>
      <c r="F17" s="42">
        <f>+งบแสดงผลจ่ายจากเงินรายรับ!F17</f>
        <v>15000</v>
      </c>
      <c r="G17" s="42">
        <f>+งบแสดงผลจ่ายจากเงินรายรับ!G17</f>
        <v>0</v>
      </c>
      <c r="H17" s="41">
        <f>+งบแสดงผลจ่ายจากเงินรายรับ!H17</f>
        <v>1000000</v>
      </c>
      <c r="I17" s="42">
        <f>+งบแสดงผลจ่ายจากเงินรายรับ!I17</f>
        <v>98000</v>
      </c>
      <c r="J17" s="42">
        <f>+งบแสดงผลจ่ายจากเงินรายรับ!J17</f>
        <v>0</v>
      </c>
      <c r="K17" s="42">
        <f>+งบแสดงผลจ่ายจากเงินรายรับ!K17</f>
        <v>29513.809999999998</v>
      </c>
      <c r="L17" s="42">
        <f>+งบแสดงผลจ่ายจากเงินรายรับ!L17</f>
        <v>42000</v>
      </c>
      <c r="M17" s="42">
        <f>+งบแสดงผลจ่ายจากเงินรายรับ!M17</f>
        <v>20000</v>
      </c>
      <c r="N17" s="42">
        <f>+งบแสดงผลจ่ายจากเงินรายรับ!N17</f>
        <v>0</v>
      </c>
      <c r="O17" s="42">
        <f>+งบแสดงผลจ่ายจากเงินรายรับ!O17</f>
        <v>0</v>
      </c>
      <c r="P17" s="42">
        <f>+งบแสดงผลจ่ายจากเงินรายรับ!P17</f>
        <v>0</v>
      </c>
      <c r="Q17" s="42">
        <f>+งบแสดงผลจ่ายจากเงินรายรับ!Q17</f>
        <v>0</v>
      </c>
    </row>
    <row r="18" spans="1:17" s="112" customFormat="1" ht="25.5" customHeight="1" thickBot="1">
      <c r="A18" s="23" t="s">
        <v>167</v>
      </c>
      <c r="B18" s="47">
        <f>SUM(B7:B17)</f>
        <v>25500000</v>
      </c>
      <c r="C18" s="47">
        <f>SUM(C7:C17)</f>
        <v>23416563.189999998</v>
      </c>
      <c r="D18" s="47">
        <f>SUM(D7:D17)</f>
        <v>3646763.24</v>
      </c>
      <c r="E18" s="47">
        <f>SUM(E7:E17)</f>
        <v>26287999.189999998</v>
      </c>
      <c r="F18" s="48">
        <f>SUM(F7:F17)</f>
        <v>7802826.409999999</v>
      </c>
      <c r="G18" s="48">
        <f aca="true" t="shared" si="1" ref="G18:Q18">SUM(G7:G17)</f>
        <v>37250</v>
      </c>
      <c r="H18" s="48">
        <f t="shared" si="1"/>
        <v>4686930.66</v>
      </c>
      <c r="I18" s="48">
        <f t="shared" si="1"/>
        <v>1077275</v>
      </c>
      <c r="J18" s="48">
        <f t="shared" si="1"/>
        <v>558540</v>
      </c>
      <c r="K18" s="48">
        <f t="shared" si="1"/>
        <v>6823945.12</v>
      </c>
      <c r="L18" s="48">
        <f t="shared" si="1"/>
        <v>248654</v>
      </c>
      <c r="M18" s="48">
        <f t="shared" si="1"/>
        <v>400690</v>
      </c>
      <c r="N18" s="48">
        <f t="shared" si="1"/>
        <v>0</v>
      </c>
      <c r="O18" s="48">
        <f t="shared" si="1"/>
        <v>106660</v>
      </c>
      <c r="P18" s="48">
        <f t="shared" si="1"/>
        <v>0</v>
      </c>
      <c r="Q18" s="48">
        <f t="shared" si="1"/>
        <v>4545228</v>
      </c>
    </row>
    <row r="19" spans="1:17" s="112" customFormat="1" ht="20.25" thickTop="1">
      <c r="A19" s="36" t="s">
        <v>32</v>
      </c>
      <c r="B19" s="45"/>
      <c r="C19" s="43"/>
      <c r="D19" s="43"/>
      <c r="E19" s="43"/>
      <c r="F19" s="46"/>
      <c r="G19" s="46"/>
      <c r="H19" s="43"/>
      <c r="I19" s="46"/>
      <c r="J19" s="46"/>
      <c r="K19" s="46"/>
      <c r="L19" s="46"/>
      <c r="M19" s="46"/>
      <c r="N19" s="46"/>
      <c r="O19" s="46"/>
      <c r="P19" s="46"/>
      <c r="Q19" s="46"/>
    </row>
    <row r="20" spans="1:17" ht="19.5">
      <c r="A20" s="26" t="s">
        <v>41</v>
      </c>
      <c r="B20" s="44">
        <v>135000</v>
      </c>
      <c r="C20" s="30">
        <v>196283.28</v>
      </c>
      <c r="D20" s="30"/>
      <c r="E20" s="30">
        <v>196283.28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</row>
    <row r="21" spans="1:17" ht="19.5">
      <c r="A21" s="26" t="s">
        <v>42</v>
      </c>
      <c r="B21" s="44">
        <v>121000</v>
      </c>
      <c r="C21" s="30">
        <v>111315.1</v>
      </c>
      <c r="D21" s="30"/>
      <c r="E21" s="30">
        <v>111315.1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</row>
    <row r="22" spans="1:17" ht="19.5">
      <c r="A22" s="113" t="s">
        <v>262</v>
      </c>
      <c r="B22" s="31">
        <v>0</v>
      </c>
      <c r="C22" s="30">
        <v>0</v>
      </c>
      <c r="D22" s="30"/>
      <c r="E22" s="30">
        <v>0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</row>
    <row r="23" spans="1:17" ht="19.5">
      <c r="A23" s="113" t="s">
        <v>51</v>
      </c>
      <c r="B23" s="31">
        <v>131000</v>
      </c>
      <c r="C23" s="30">
        <v>134247.2</v>
      </c>
      <c r="D23" s="30"/>
      <c r="E23" s="30">
        <v>134247.2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</row>
    <row r="24" spans="1:17" ht="19.5">
      <c r="A24" s="113" t="s">
        <v>43</v>
      </c>
      <c r="B24" s="31">
        <v>16000</v>
      </c>
      <c r="C24" s="30">
        <v>6810.5</v>
      </c>
      <c r="D24" s="30"/>
      <c r="E24" s="30">
        <v>6810.5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</row>
    <row r="25" spans="1:17" ht="19.5">
      <c r="A25" s="113" t="s">
        <v>44</v>
      </c>
      <c r="B25" s="31">
        <v>0</v>
      </c>
      <c r="C25" s="30">
        <v>0</v>
      </c>
      <c r="D25" s="30"/>
      <c r="E25" s="30">
        <v>0</v>
      </c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</row>
    <row r="26" spans="1:17" ht="19.5">
      <c r="A26" s="113" t="s">
        <v>263</v>
      </c>
      <c r="B26" s="31">
        <v>13597000</v>
      </c>
      <c r="C26" s="30">
        <v>15202338.8</v>
      </c>
      <c r="D26" s="30"/>
      <c r="E26" s="30">
        <v>15202338.8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</row>
    <row r="27" spans="1:17" ht="19.5">
      <c r="A27" s="113" t="s">
        <v>264</v>
      </c>
      <c r="B27" s="31">
        <v>11500000</v>
      </c>
      <c r="C27" s="30">
        <v>10050915</v>
      </c>
      <c r="D27" s="30"/>
      <c r="E27" s="30">
        <v>10050915</v>
      </c>
      <c r="F27" s="31"/>
      <c r="G27" s="31"/>
      <c r="H27" s="31"/>
      <c r="I27" s="31"/>
      <c r="J27" s="31"/>
      <c r="K27" s="31"/>
      <c r="L27" s="31"/>
      <c r="M27" s="31"/>
      <c r="N27" s="31"/>
      <c r="O27" s="30"/>
      <c r="P27" s="30"/>
      <c r="Q27" s="30"/>
    </row>
    <row r="28" spans="1:17" ht="19.5">
      <c r="A28" s="113" t="s">
        <v>265</v>
      </c>
      <c r="B28" s="31">
        <v>0</v>
      </c>
      <c r="C28" s="30">
        <v>0</v>
      </c>
      <c r="D28" s="30">
        <f>+D18</f>
        <v>3646763.24</v>
      </c>
      <c r="E28" s="30">
        <v>0</v>
      </c>
      <c r="F28" s="31"/>
      <c r="G28" s="31"/>
      <c r="H28" s="31"/>
      <c r="I28" s="31"/>
      <c r="J28" s="31"/>
      <c r="K28" s="31"/>
      <c r="L28" s="31"/>
      <c r="M28" s="31"/>
      <c r="N28" s="31"/>
      <c r="O28" s="30"/>
      <c r="P28" s="30"/>
      <c r="Q28" s="30"/>
    </row>
    <row r="29" spans="1:17" ht="21.75" thickBot="1">
      <c r="A29" s="111" t="s">
        <v>38</v>
      </c>
      <c r="B29" s="50">
        <f aca="true" t="shared" si="2" ref="B29:Q29">SUM(B20:B28)</f>
        <v>25500000</v>
      </c>
      <c r="C29" s="49">
        <f t="shared" si="2"/>
        <v>25701909.880000003</v>
      </c>
      <c r="D29" s="49">
        <f t="shared" si="2"/>
        <v>3646763.24</v>
      </c>
      <c r="E29" s="49">
        <f t="shared" si="2"/>
        <v>25701909.880000003</v>
      </c>
      <c r="F29" s="49">
        <f t="shared" si="2"/>
        <v>0</v>
      </c>
      <c r="G29" s="49">
        <f t="shared" si="2"/>
        <v>0</v>
      </c>
      <c r="H29" s="49">
        <f t="shared" si="2"/>
        <v>0</v>
      </c>
      <c r="I29" s="49">
        <f t="shared" si="2"/>
        <v>0</v>
      </c>
      <c r="J29" s="49">
        <f t="shared" si="2"/>
        <v>0</v>
      </c>
      <c r="K29" s="49">
        <f t="shared" si="2"/>
        <v>0</v>
      </c>
      <c r="L29" s="49">
        <f t="shared" si="2"/>
        <v>0</v>
      </c>
      <c r="M29" s="49">
        <f t="shared" si="2"/>
        <v>0</v>
      </c>
      <c r="N29" s="49">
        <f t="shared" si="2"/>
        <v>0</v>
      </c>
      <c r="O29" s="49">
        <f t="shared" si="2"/>
        <v>0</v>
      </c>
      <c r="P29" s="49">
        <f t="shared" si="2"/>
        <v>0</v>
      </c>
      <c r="Q29" s="49">
        <f t="shared" si="2"/>
        <v>0</v>
      </c>
    </row>
    <row r="30" spans="1:5" ht="21" thickBot="1" thickTop="1">
      <c r="A30" s="115" t="s">
        <v>168</v>
      </c>
      <c r="C30" s="186"/>
      <c r="D30" s="187"/>
      <c r="E30" s="51">
        <f>+E29-E18</f>
        <v>-586089.3099999949</v>
      </c>
    </row>
    <row r="31" ht="27.75" customHeight="1" thickTop="1"/>
    <row r="32" ht="27.75" customHeight="1">
      <c r="A32" s="167" t="s">
        <v>266</v>
      </c>
    </row>
    <row r="36" spans="2:15" ht="21">
      <c r="B36" s="630" t="s">
        <v>338</v>
      </c>
      <c r="C36" s="630"/>
      <c r="E36" s="2"/>
      <c r="F36" s="2"/>
      <c r="G36" s="2"/>
      <c r="H36" s="630" t="s">
        <v>339</v>
      </c>
      <c r="I36" s="630"/>
      <c r="J36" s="2"/>
      <c r="M36" s="590" t="s">
        <v>342</v>
      </c>
      <c r="N36" s="590"/>
      <c r="O36" s="590"/>
    </row>
    <row r="37" spans="2:15" ht="21">
      <c r="B37" s="630" t="s">
        <v>340</v>
      </c>
      <c r="C37" s="630"/>
      <c r="E37" s="2"/>
      <c r="F37" s="2"/>
      <c r="G37" s="2"/>
      <c r="H37" s="630" t="s">
        <v>372</v>
      </c>
      <c r="I37" s="630"/>
      <c r="J37" s="2"/>
      <c r="M37" s="590" t="s">
        <v>705</v>
      </c>
      <c r="N37" s="590"/>
      <c r="O37" s="590"/>
    </row>
  </sheetData>
  <sheetProtection/>
  <mergeCells count="9">
    <mergeCell ref="B37:C37"/>
    <mergeCell ref="H37:I37"/>
    <mergeCell ref="M37:O37"/>
    <mergeCell ref="A1:Q1"/>
    <mergeCell ref="A2:Q2"/>
    <mergeCell ref="A3:Q3"/>
    <mergeCell ref="B36:C36"/>
    <mergeCell ref="H36:I36"/>
    <mergeCell ref="M36:O36"/>
  </mergeCells>
  <printOptions/>
  <pageMargins left="0.07874015748031496" right="0" top="0.1968503937007874" bottom="0" header="0.31496062992125984" footer="0.31496062992125984"/>
  <pageSetup horizontalDpi="600" verticalDpi="600" orientation="landscape" paperSize="9" scale="5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9">
      <selection activeCell="A35" sqref="A35:IV36"/>
    </sheetView>
  </sheetViews>
  <sheetFormatPr defaultColWidth="9.140625" defaultRowHeight="15"/>
  <cols>
    <col min="1" max="1" width="29.421875" style="1" customWidth="1"/>
    <col min="2" max="2" width="14.00390625" style="1" customWidth="1"/>
    <col min="3" max="3" width="12.8515625" style="1" customWidth="1"/>
    <col min="4" max="4" width="12.57421875" style="1" customWidth="1"/>
    <col min="5" max="5" width="11.8515625" style="1" customWidth="1"/>
    <col min="6" max="6" width="12.140625" style="1" customWidth="1"/>
    <col min="7" max="7" width="12.00390625" style="1" customWidth="1"/>
    <col min="8" max="8" width="11.7109375" style="1" customWidth="1"/>
    <col min="9" max="9" width="10.8515625" style="1" customWidth="1"/>
    <col min="10" max="10" width="11.57421875" style="1" customWidth="1"/>
    <col min="11" max="13" width="12.57421875" style="1" customWidth="1"/>
    <col min="14" max="14" width="13.00390625" style="1" customWidth="1"/>
    <col min="15" max="15" width="11.57421875" style="1" customWidth="1"/>
    <col min="16" max="16" width="9.00390625" style="1" customWidth="1"/>
    <col min="17" max="17" width="10.00390625" style="1" customWidth="1"/>
    <col min="18" max="16384" width="9.00390625" style="1" customWidth="1"/>
  </cols>
  <sheetData>
    <row r="1" spans="1:15" ht="19.5">
      <c r="A1" s="632" t="str">
        <f>+งบแสดงฐานะการเงิน!A1</f>
        <v>องค์การบริหารส่วนตำบลโพนทอง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  <c r="O1" s="632"/>
    </row>
    <row r="2" spans="1:15" ht="19.5">
      <c r="A2" s="632" t="s">
        <v>170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  <c r="N2" s="632"/>
      <c r="O2" s="632"/>
    </row>
    <row r="3" spans="1:15" ht="19.5">
      <c r="A3" s="632" t="str">
        <f>+'ตามแผนงาน 1'!A3:F3</f>
        <v>ตั้งแต่วันที่  1  ตุลาคม 2560  ถึง  30 กันยายน 2561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2"/>
    </row>
    <row r="5" spans="1:17" s="112" customFormat="1" ht="97.5">
      <c r="A5" s="183" t="s">
        <v>31</v>
      </c>
      <c r="B5" s="183" t="s">
        <v>29</v>
      </c>
      <c r="C5" s="182" t="s">
        <v>260</v>
      </c>
      <c r="D5" s="182" t="s">
        <v>261</v>
      </c>
      <c r="E5" s="183" t="s">
        <v>68</v>
      </c>
      <c r="F5" s="20" t="s">
        <v>151</v>
      </c>
      <c r="G5" s="20" t="s">
        <v>152</v>
      </c>
      <c r="H5" s="21" t="s">
        <v>153</v>
      </c>
      <c r="I5" s="20" t="s">
        <v>174</v>
      </c>
      <c r="J5" s="20" t="s">
        <v>154</v>
      </c>
      <c r="K5" s="20" t="s">
        <v>155</v>
      </c>
      <c r="L5" s="20" t="s">
        <v>156</v>
      </c>
      <c r="M5" s="20" t="s">
        <v>157</v>
      </c>
      <c r="N5" s="20" t="s">
        <v>158</v>
      </c>
      <c r="O5" s="20" t="s">
        <v>159</v>
      </c>
      <c r="P5" s="20" t="s">
        <v>160</v>
      </c>
      <c r="Q5" s="22" t="s">
        <v>49</v>
      </c>
    </row>
    <row r="6" spans="1:17" s="112" customFormat="1" ht="19.5">
      <c r="A6" s="35" t="s">
        <v>33</v>
      </c>
      <c r="B6" s="37"/>
      <c r="C6" s="40"/>
      <c r="D6" s="181"/>
      <c r="E6" s="184">
        <f>SUM(F6:Q6)</f>
        <v>0</v>
      </c>
      <c r="F6" s="39"/>
      <c r="G6" s="39"/>
      <c r="H6" s="38"/>
      <c r="I6" s="39"/>
      <c r="J6" s="39"/>
      <c r="K6" s="39"/>
      <c r="L6" s="39"/>
      <c r="M6" s="39"/>
      <c r="N6" s="39"/>
      <c r="O6" s="39"/>
      <c r="P6" s="39"/>
      <c r="Q6" s="39"/>
    </row>
    <row r="7" spans="1:17" s="112" customFormat="1" ht="19.5">
      <c r="A7" s="114" t="s">
        <v>49</v>
      </c>
      <c r="B7" s="93"/>
      <c r="C7" s="30"/>
      <c r="D7" s="101"/>
      <c r="E7" s="43">
        <f aca="true" t="shared" si="0" ref="E7:E17">SUM(F7:Q7)</f>
        <v>0</v>
      </c>
      <c r="F7" s="42"/>
      <c r="G7" s="42"/>
      <c r="H7" s="41"/>
      <c r="I7" s="42"/>
      <c r="J7" s="42"/>
      <c r="K7" s="42"/>
      <c r="L7" s="42"/>
      <c r="M7" s="42"/>
      <c r="N7" s="42"/>
      <c r="O7" s="42"/>
      <c r="P7" s="42"/>
      <c r="Q7" s="57"/>
    </row>
    <row r="8" spans="1:17" s="112" customFormat="1" ht="19.5">
      <c r="A8" s="26" t="s">
        <v>97</v>
      </c>
      <c r="B8" s="44"/>
      <c r="C8" s="30"/>
      <c r="D8" s="30"/>
      <c r="E8" s="43">
        <f t="shared" si="0"/>
        <v>0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58"/>
    </row>
    <row r="9" spans="1:17" s="112" customFormat="1" ht="19.5">
      <c r="A9" s="26" t="s">
        <v>98</v>
      </c>
      <c r="B9" s="44"/>
      <c r="C9" s="30"/>
      <c r="D9" s="30"/>
      <c r="E9" s="43">
        <f t="shared" si="0"/>
        <v>0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58"/>
    </row>
    <row r="10" spans="1:17" s="112" customFormat="1" ht="19.5">
      <c r="A10" s="113" t="s">
        <v>45</v>
      </c>
      <c r="B10" s="31"/>
      <c r="C10" s="30"/>
      <c r="D10" s="30"/>
      <c r="E10" s="43">
        <f t="shared" si="0"/>
        <v>0</v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58"/>
    </row>
    <row r="11" spans="1:17" s="112" customFormat="1" ht="19.5">
      <c r="A11" s="113" t="s">
        <v>46</v>
      </c>
      <c r="B11" s="31"/>
      <c r="C11" s="30"/>
      <c r="D11" s="30"/>
      <c r="E11" s="43">
        <f t="shared" si="0"/>
        <v>0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58"/>
    </row>
    <row r="12" spans="1:17" s="112" customFormat="1" ht="19.5">
      <c r="A12" s="113" t="s">
        <v>47</v>
      </c>
      <c r="B12" s="31"/>
      <c r="C12" s="30"/>
      <c r="D12" s="30"/>
      <c r="E12" s="43">
        <f t="shared" si="0"/>
        <v>0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58"/>
    </row>
    <row r="13" spans="1:17" s="112" customFormat="1" ht="19.5">
      <c r="A13" s="113" t="s">
        <v>100</v>
      </c>
      <c r="B13" s="31"/>
      <c r="C13" s="30"/>
      <c r="D13" s="30"/>
      <c r="E13" s="43">
        <f t="shared" si="0"/>
        <v>0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58"/>
    </row>
    <row r="14" spans="1:17" s="112" customFormat="1" ht="19.5">
      <c r="A14" s="113" t="s">
        <v>165</v>
      </c>
      <c r="B14" s="31"/>
      <c r="C14" s="30"/>
      <c r="D14" s="30"/>
      <c r="E14" s="43">
        <f t="shared" si="0"/>
        <v>0</v>
      </c>
      <c r="F14" s="31"/>
      <c r="G14" s="31"/>
      <c r="H14" s="31"/>
      <c r="I14" s="31"/>
      <c r="J14" s="31"/>
      <c r="K14" s="31"/>
      <c r="L14" s="31"/>
      <c r="M14" s="31"/>
      <c r="N14" s="31"/>
      <c r="O14" s="30"/>
      <c r="P14" s="30"/>
      <c r="Q14" s="58"/>
    </row>
    <row r="15" spans="1:17" s="112" customFormat="1" ht="19.5">
      <c r="A15" s="113" t="s">
        <v>166</v>
      </c>
      <c r="B15" s="31"/>
      <c r="C15" s="30"/>
      <c r="D15" s="30"/>
      <c r="E15" s="43">
        <f t="shared" si="0"/>
        <v>0</v>
      </c>
      <c r="F15" s="31"/>
      <c r="G15" s="31"/>
      <c r="H15" s="31"/>
      <c r="I15" s="31"/>
      <c r="J15" s="31"/>
      <c r="K15" s="31"/>
      <c r="L15" s="31"/>
      <c r="M15" s="31"/>
      <c r="N15" s="31"/>
      <c r="O15" s="30"/>
      <c r="P15" s="30"/>
      <c r="Q15" s="58"/>
    </row>
    <row r="16" spans="1:17" s="112" customFormat="1" ht="19.5">
      <c r="A16" s="113" t="s">
        <v>48</v>
      </c>
      <c r="B16" s="31"/>
      <c r="C16" s="30"/>
      <c r="D16" s="30"/>
      <c r="E16" s="43">
        <f t="shared" si="0"/>
        <v>0</v>
      </c>
      <c r="F16" s="31"/>
      <c r="G16" s="31"/>
      <c r="H16" s="31"/>
      <c r="I16" s="31"/>
      <c r="J16" s="31"/>
      <c r="K16" s="31"/>
      <c r="L16" s="31"/>
      <c r="M16" s="31"/>
      <c r="N16" s="31"/>
      <c r="O16" s="30"/>
      <c r="P16" s="30"/>
      <c r="Q16" s="58"/>
    </row>
    <row r="17" spans="1:17" s="112" customFormat="1" ht="19.5">
      <c r="A17" s="33" t="s">
        <v>28</v>
      </c>
      <c r="B17" s="34"/>
      <c r="C17" s="32"/>
      <c r="D17" s="32"/>
      <c r="E17" s="185">
        <f t="shared" si="0"/>
        <v>0</v>
      </c>
      <c r="F17" s="34"/>
      <c r="G17" s="34"/>
      <c r="H17" s="34"/>
      <c r="I17" s="34"/>
      <c r="J17" s="34"/>
      <c r="K17" s="34"/>
      <c r="L17" s="34"/>
      <c r="M17" s="34"/>
      <c r="N17" s="34"/>
      <c r="O17" s="32"/>
      <c r="P17" s="32"/>
      <c r="Q17" s="59"/>
    </row>
    <row r="18" spans="1:17" s="112" customFormat="1" ht="25.5" customHeight="1" thickBot="1">
      <c r="A18" s="23" t="s">
        <v>167</v>
      </c>
      <c r="B18" s="47">
        <f>SUM(B7:B17)</f>
        <v>0</v>
      </c>
      <c r="C18" s="47">
        <f>SUM(C7:C17)</f>
        <v>0</v>
      </c>
      <c r="D18" s="47">
        <f>SUM(D7:D17)</f>
        <v>0</v>
      </c>
      <c r="E18" s="47">
        <f>SUM(E7:E17)</f>
        <v>0</v>
      </c>
      <c r="F18" s="48">
        <f>SUM(F7:F17)</f>
        <v>0</v>
      </c>
      <c r="G18" s="48">
        <f aca="true" t="shared" si="1" ref="G18:Q18">SUM(G7:G17)</f>
        <v>0</v>
      </c>
      <c r="H18" s="48">
        <f t="shared" si="1"/>
        <v>0</v>
      </c>
      <c r="I18" s="48">
        <f t="shared" si="1"/>
        <v>0</v>
      </c>
      <c r="J18" s="48">
        <f t="shared" si="1"/>
        <v>0</v>
      </c>
      <c r="K18" s="48">
        <f t="shared" si="1"/>
        <v>0</v>
      </c>
      <c r="L18" s="48">
        <f t="shared" si="1"/>
        <v>0</v>
      </c>
      <c r="M18" s="48">
        <f t="shared" si="1"/>
        <v>0</v>
      </c>
      <c r="N18" s="48">
        <f t="shared" si="1"/>
        <v>0</v>
      </c>
      <c r="O18" s="48">
        <f t="shared" si="1"/>
        <v>0</v>
      </c>
      <c r="P18" s="48">
        <f t="shared" si="1"/>
        <v>0</v>
      </c>
      <c r="Q18" s="60">
        <f t="shared" si="1"/>
        <v>0</v>
      </c>
    </row>
    <row r="19" spans="1:17" s="112" customFormat="1" ht="20.25" thickTop="1">
      <c r="A19" s="36" t="s">
        <v>32</v>
      </c>
      <c r="B19" s="45"/>
      <c r="C19" s="43"/>
      <c r="D19" s="43"/>
      <c r="E19" s="43"/>
      <c r="F19" s="46"/>
      <c r="G19" s="46"/>
      <c r="H19" s="43"/>
      <c r="I19" s="46"/>
      <c r="J19" s="46"/>
      <c r="K19" s="46"/>
      <c r="L19" s="46"/>
      <c r="M19" s="46"/>
      <c r="N19" s="46"/>
      <c r="O19" s="46"/>
      <c r="P19" s="46"/>
      <c r="Q19" s="46"/>
    </row>
    <row r="20" spans="1:17" ht="19.5">
      <c r="A20" s="26" t="s">
        <v>41</v>
      </c>
      <c r="B20" s="44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</row>
    <row r="21" spans="1:17" ht="19.5">
      <c r="A21" s="26" t="s">
        <v>42</v>
      </c>
      <c r="B21" s="44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</row>
    <row r="22" spans="1:17" ht="19.5">
      <c r="A22" s="113" t="s">
        <v>262</v>
      </c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</row>
    <row r="23" spans="1:17" ht="19.5">
      <c r="A23" s="113" t="s">
        <v>51</v>
      </c>
      <c r="B23" s="31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</row>
    <row r="24" spans="1:17" ht="19.5">
      <c r="A24" s="113" t="s">
        <v>43</v>
      </c>
      <c r="B24" s="31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</row>
    <row r="25" spans="1:17" ht="19.5">
      <c r="A25" s="113" t="s">
        <v>44</v>
      </c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</row>
    <row r="26" spans="1:17" ht="19.5">
      <c r="A26" s="113" t="s">
        <v>263</v>
      </c>
      <c r="B26" s="31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</row>
    <row r="27" spans="1:17" ht="19.5">
      <c r="A27" s="113" t="s">
        <v>264</v>
      </c>
      <c r="B27" s="31"/>
      <c r="C27" s="30"/>
      <c r="D27" s="30"/>
      <c r="E27" s="30"/>
      <c r="F27" s="31"/>
      <c r="G27" s="31"/>
      <c r="H27" s="31"/>
      <c r="I27" s="31"/>
      <c r="J27" s="31"/>
      <c r="K27" s="31"/>
      <c r="L27" s="31"/>
      <c r="M27" s="31"/>
      <c r="N27" s="31"/>
      <c r="O27" s="30"/>
      <c r="P27" s="30"/>
      <c r="Q27" s="30"/>
    </row>
    <row r="28" spans="1:17" ht="19.5">
      <c r="A28" s="113" t="s">
        <v>265</v>
      </c>
      <c r="B28" s="31"/>
      <c r="C28" s="30"/>
      <c r="D28" s="30"/>
      <c r="E28" s="30"/>
      <c r="F28" s="31"/>
      <c r="G28" s="31"/>
      <c r="H28" s="31"/>
      <c r="I28" s="31"/>
      <c r="J28" s="31"/>
      <c r="K28" s="31"/>
      <c r="L28" s="31"/>
      <c r="M28" s="31"/>
      <c r="N28" s="31"/>
      <c r="O28" s="30"/>
      <c r="P28" s="30"/>
      <c r="Q28" s="30"/>
    </row>
    <row r="29" spans="1:17" ht="21.75" thickBot="1">
      <c r="A29" s="111" t="s">
        <v>38</v>
      </c>
      <c r="B29" s="50">
        <f aca="true" t="shared" si="2" ref="B29:Q29">SUM(B20:B28)</f>
        <v>0</v>
      </c>
      <c r="C29" s="49">
        <f t="shared" si="2"/>
        <v>0</v>
      </c>
      <c r="D29" s="49">
        <f t="shared" si="2"/>
        <v>0</v>
      </c>
      <c r="E29" s="49">
        <f t="shared" si="2"/>
        <v>0</v>
      </c>
      <c r="F29" s="49">
        <f t="shared" si="2"/>
        <v>0</v>
      </c>
      <c r="G29" s="49">
        <f t="shared" si="2"/>
        <v>0</v>
      </c>
      <c r="H29" s="49">
        <f t="shared" si="2"/>
        <v>0</v>
      </c>
      <c r="I29" s="49">
        <f t="shared" si="2"/>
        <v>0</v>
      </c>
      <c r="J29" s="49">
        <f t="shared" si="2"/>
        <v>0</v>
      </c>
      <c r="K29" s="49">
        <f t="shared" si="2"/>
        <v>0</v>
      </c>
      <c r="L29" s="49">
        <f t="shared" si="2"/>
        <v>0</v>
      </c>
      <c r="M29" s="49">
        <f t="shared" si="2"/>
        <v>0</v>
      </c>
      <c r="N29" s="49">
        <f t="shared" si="2"/>
        <v>0</v>
      </c>
      <c r="O29" s="49">
        <f t="shared" si="2"/>
        <v>0</v>
      </c>
      <c r="P29" s="49">
        <f t="shared" si="2"/>
        <v>0</v>
      </c>
      <c r="Q29" s="49">
        <f t="shared" si="2"/>
        <v>0</v>
      </c>
    </row>
    <row r="30" spans="1:5" ht="21" thickBot="1" thickTop="1">
      <c r="A30" s="115" t="s">
        <v>168</v>
      </c>
      <c r="C30" s="186"/>
      <c r="D30" s="187"/>
      <c r="E30" s="51">
        <f>+E29-E18</f>
        <v>0</v>
      </c>
    </row>
    <row r="31" ht="27.75" customHeight="1" thickTop="1"/>
    <row r="32" ht="27.75" customHeight="1">
      <c r="A32" s="167" t="s">
        <v>266</v>
      </c>
    </row>
    <row r="35" spans="2:15" ht="21">
      <c r="B35" s="630" t="s">
        <v>338</v>
      </c>
      <c r="C35" s="630"/>
      <c r="E35" s="2"/>
      <c r="F35" s="2"/>
      <c r="G35" s="2"/>
      <c r="H35" s="630" t="s">
        <v>339</v>
      </c>
      <c r="I35" s="630"/>
      <c r="J35" s="2"/>
      <c r="M35" s="590" t="s">
        <v>342</v>
      </c>
      <c r="N35" s="590"/>
      <c r="O35" s="590"/>
    </row>
    <row r="36" spans="2:15" ht="21">
      <c r="B36" s="630" t="s">
        <v>340</v>
      </c>
      <c r="C36" s="630"/>
      <c r="E36" s="2"/>
      <c r="F36" s="2"/>
      <c r="G36" s="2"/>
      <c r="H36" s="630" t="s">
        <v>372</v>
      </c>
      <c r="I36" s="630"/>
      <c r="J36" s="2"/>
      <c r="M36" s="590" t="s">
        <v>705</v>
      </c>
      <c r="N36" s="590"/>
      <c r="O36" s="590"/>
    </row>
  </sheetData>
  <sheetProtection/>
  <mergeCells count="9">
    <mergeCell ref="B36:C36"/>
    <mergeCell ref="H36:I36"/>
    <mergeCell ref="M36:O36"/>
    <mergeCell ref="A1:O1"/>
    <mergeCell ref="A2:O2"/>
    <mergeCell ref="A3:O3"/>
    <mergeCell ref="B35:C35"/>
    <mergeCell ref="H35:I35"/>
    <mergeCell ref="M35:O35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scale="6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25">
      <selection activeCell="A35" sqref="A35:IV36"/>
    </sheetView>
  </sheetViews>
  <sheetFormatPr defaultColWidth="9.140625" defaultRowHeight="15"/>
  <cols>
    <col min="1" max="1" width="28.00390625" style="1" customWidth="1"/>
    <col min="2" max="2" width="14.421875" style="1" customWidth="1"/>
    <col min="3" max="3" width="14.00390625" style="1" customWidth="1"/>
    <col min="4" max="4" width="12.57421875" style="1" customWidth="1"/>
    <col min="5" max="5" width="11.421875" style="1" customWidth="1"/>
    <col min="6" max="6" width="12.57421875" style="1" customWidth="1"/>
    <col min="7" max="7" width="12.00390625" style="1" customWidth="1"/>
    <col min="8" max="8" width="12.57421875" style="1" customWidth="1"/>
    <col min="9" max="9" width="10.57421875" style="1" customWidth="1"/>
    <col min="10" max="10" width="12.57421875" style="1" customWidth="1"/>
    <col min="11" max="11" width="10.8515625" style="1" customWidth="1"/>
    <col min="12" max="13" width="12.57421875" style="1" customWidth="1"/>
    <col min="14" max="14" width="13.00390625" style="1" customWidth="1"/>
    <col min="15" max="15" width="11.57421875" style="1" customWidth="1"/>
    <col min="16" max="16384" width="9.00390625" style="1" customWidth="1"/>
  </cols>
  <sheetData>
    <row r="1" spans="1:15" ht="19.5">
      <c r="A1" s="632" t="str">
        <f>+งบแสดงฐานะการเงิน!A1</f>
        <v>องค์การบริหารส่วนตำบลโพนทอง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  <c r="O1" s="632"/>
    </row>
    <row r="2" spans="1:15" ht="19.5">
      <c r="A2" s="632" t="s">
        <v>171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  <c r="N2" s="632"/>
      <c r="O2" s="632"/>
    </row>
    <row r="3" spans="1:15" ht="19.5">
      <c r="A3" s="632" t="str">
        <f>+'ตามแผนงาน 1'!A3:F3</f>
        <v>ตั้งแต่วันที่  1  ตุลาคม 2560  ถึง  30 กันยายน 2561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2"/>
    </row>
    <row r="5" spans="1:17" s="112" customFormat="1" ht="97.5">
      <c r="A5" s="183" t="s">
        <v>31</v>
      </c>
      <c r="B5" s="183" t="s">
        <v>29</v>
      </c>
      <c r="C5" s="182" t="s">
        <v>260</v>
      </c>
      <c r="D5" s="182" t="s">
        <v>261</v>
      </c>
      <c r="E5" s="183" t="s">
        <v>68</v>
      </c>
      <c r="F5" s="20" t="s">
        <v>151</v>
      </c>
      <c r="G5" s="20" t="s">
        <v>152</v>
      </c>
      <c r="H5" s="21" t="s">
        <v>153</v>
      </c>
      <c r="I5" s="20" t="s">
        <v>174</v>
      </c>
      <c r="J5" s="20" t="s">
        <v>154</v>
      </c>
      <c r="K5" s="20" t="s">
        <v>155</v>
      </c>
      <c r="L5" s="20" t="s">
        <v>156</v>
      </c>
      <c r="M5" s="20" t="s">
        <v>157</v>
      </c>
      <c r="N5" s="20" t="s">
        <v>158</v>
      </c>
      <c r="O5" s="20" t="s">
        <v>159</v>
      </c>
      <c r="P5" s="20" t="s">
        <v>160</v>
      </c>
      <c r="Q5" s="22" t="s">
        <v>49</v>
      </c>
    </row>
    <row r="6" spans="1:17" s="112" customFormat="1" ht="19.5">
      <c r="A6" s="35" t="s">
        <v>33</v>
      </c>
      <c r="B6" s="37"/>
      <c r="C6" s="40"/>
      <c r="D6" s="181"/>
      <c r="E6" s="184">
        <f>SUM(F6:Q6)</f>
        <v>0</v>
      </c>
      <c r="F6" s="39"/>
      <c r="G6" s="39"/>
      <c r="H6" s="38"/>
      <c r="I6" s="39"/>
      <c r="J6" s="39"/>
      <c r="K6" s="39"/>
      <c r="L6" s="39"/>
      <c r="M6" s="39"/>
      <c r="N6" s="39"/>
      <c r="O6" s="39"/>
      <c r="P6" s="39"/>
      <c r="Q6" s="39"/>
    </row>
    <row r="7" spans="1:17" s="112" customFormat="1" ht="19.5">
      <c r="A7" s="114" t="s">
        <v>49</v>
      </c>
      <c r="B7" s="93"/>
      <c r="C7" s="30"/>
      <c r="D7" s="101"/>
      <c r="E7" s="43">
        <f aca="true" t="shared" si="0" ref="E7:E17">SUM(F7:Q7)</f>
        <v>0</v>
      </c>
      <c r="F7" s="42"/>
      <c r="G7" s="42"/>
      <c r="H7" s="41"/>
      <c r="I7" s="42"/>
      <c r="J7" s="42"/>
      <c r="K7" s="42"/>
      <c r="L7" s="42"/>
      <c r="M7" s="42"/>
      <c r="N7" s="42"/>
      <c r="O7" s="42"/>
      <c r="P7" s="42"/>
      <c r="Q7" s="57"/>
    </row>
    <row r="8" spans="1:17" s="112" customFormat="1" ht="19.5">
      <c r="A8" s="26" t="s">
        <v>97</v>
      </c>
      <c r="B8" s="44"/>
      <c r="C8" s="30"/>
      <c r="D8" s="30"/>
      <c r="E8" s="43">
        <f t="shared" si="0"/>
        <v>0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58"/>
    </row>
    <row r="9" spans="1:17" s="112" customFormat="1" ht="19.5">
      <c r="A9" s="26" t="s">
        <v>98</v>
      </c>
      <c r="B9" s="44"/>
      <c r="C9" s="30"/>
      <c r="D9" s="30"/>
      <c r="E9" s="43">
        <f t="shared" si="0"/>
        <v>0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58"/>
    </row>
    <row r="10" spans="1:17" s="112" customFormat="1" ht="19.5">
      <c r="A10" s="113" t="s">
        <v>45</v>
      </c>
      <c r="B10" s="31"/>
      <c r="C10" s="30"/>
      <c r="D10" s="30"/>
      <c r="E10" s="43">
        <f t="shared" si="0"/>
        <v>0</v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58"/>
    </row>
    <row r="11" spans="1:17" s="112" customFormat="1" ht="19.5">
      <c r="A11" s="113" t="s">
        <v>46</v>
      </c>
      <c r="B11" s="31"/>
      <c r="C11" s="30"/>
      <c r="D11" s="30"/>
      <c r="E11" s="43">
        <f t="shared" si="0"/>
        <v>0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58"/>
    </row>
    <row r="12" spans="1:17" s="112" customFormat="1" ht="19.5">
      <c r="A12" s="113" t="s">
        <v>47</v>
      </c>
      <c r="B12" s="31"/>
      <c r="C12" s="30"/>
      <c r="D12" s="30"/>
      <c r="E12" s="43">
        <f t="shared" si="0"/>
        <v>0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58"/>
    </row>
    <row r="13" spans="1:17" s="112" customFormat="1" ht="19.5">
      <c r="A13" s="113" t="s">
        <v>100</v>
      </c>
      <c r="B13" s="31"/>
      <c r="C13" s="30"/>
      <c r="D13" s="30"/>
      <c r="E13" s="43">
        <f t="shared" si="0"/>
        <v>0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58"/>
    </row>
    <row r="14" spans="1:17" s="112" customFormat="1" ht="19.5">
      <c r="A14" s="113" t="s">
        <v>165</v>
      </c>
      <c r="B14" s="31"/>
      <c r="C14" s="30"/>
      <c r="D14" s="30"/>
      <c r="E14" s="43">
        <f t="shared" si="0"/>
        <v>0</v>
      </c>
      <c r="F14" s="31"/>
      <c r="G14" s="31"/>
      <c r="H14" s="31"/>
      <c r="I14" s="31"/>
      <c r="J14" s="31"/>
      <c r="K14" s="31"/>
      <c r="L14" s="31"/>
      <c r="M14" s="31"/>
      <c r="N14" s="31"/>
      <c r="O14" s="30"/>
      <c r="P14" s="30"/>
      <c r="Q14" s="58"/>
    </row>
    <row r="15" spans="1:17" s="112" customFormat="1" ht="19.5">
      <c r="A15" s="113" t="s">
        <v>166</v>
      </c>
      <c r="B15" s="31"/>
      <c r="C15" s="30"/>
      <c r="D15" s="30"/>
      <c r="E15" s="43">
        <f t="shared" si="0"/>
        <v>0</v>
      </c>
      <c r="F15" s="31"/>
      <c r="G15" s="31"/>
      <c r="H15" s="31"/>
      <c r="I15" s="31"/>
      <c r="J15" s="31"/>
      <c r="K15" s="31"/>
      <c r="L15" s="31"/>
      <c r="M15" s="31"/>
      <c r="N15" s="31"/>
      <c r="O15" s="30"/>
      <c r="P15" s="30"/>
      <c r="Q15" s="58"/>
    </row>
    <row r="16" spans="1:17" s="112" customFormat="1" ht="19.5">
      <c r="A16" s="113" t="s">
        <v>48</v>
      </c>
      <c r="B16" s="31"/>
      <c r="C16" s="30"/>
      <c r="D16" s="30"/>
      <c r="E16" s="43">
        <f t="shared" si="0"/>
        <v>0</v>
      </c>
      <c r="F16" s="31"/>
      <c r="G16" s="31"/>
      <c r="H16" s="31"/>
      <c r="I16" s="31"/>
      <c r="J16" s="31"/>
      <c r="K16" s="31"/>
      <c r="L16" s="31"/>
      <c r="M16" s="31"/>
      <c r="N16" s="31"/>
      <c r="O16" s="30"/>
      <c r="P16" s="30"/>
      <c r="Q16" s="58"/>
    </row>
    <row r="17" spans="1:17" s="112" customFormat="1" ht="19.5">
      <c r="A17" s="33" t="s">
        <v>28</v>
      </c>
      <c r="B17" s="34"/>
      <c r="C17" s="32"/>
      <c r="D17" s="32"/>
      <c r="E17" s="185">
        <f t="shared" si="0"/>
        <v>0</v>
      </c>
      <c r="F17" s="34"/>
      <c r="G17" s="34"/>
      <c r="H17" s="34"/>
      <c r="I17" s="34"/>
      <c r="J17" s="34"/>
      <c r="K17" s="34"/>
      <c r="L17" s="34"/>
      <c r="M17" s="34"/>
      <c r="N17" s="34"/>
      <c r="O17" s="32"/>
      <c r="P17" s="32"/>
      <c r="Q17" s="59"/>
    </row>
    <row r="18" spans="1:17" s="112" customFormat="1" ht="25.5" customHeight="1" thickBot="1">
      <c r="A18" s="23" t="s">
        <v>167</v>
      </c>
      <c r="B18" s="47">
        <f>SUM(B7:B17)</f>
        <v>0</v>
      </c>
      <c r="C18" s="47">
        <f>SUM(C7:C17)</f>
        <v>0</v>
      </c>
      <c r="D18" s="47">
        <f>SUM(D7:D17)</f>
        <v>0</v>
      </c>
      <c r="E18" s="47">
        <f>SUM(E7:E17)</f>
        <v>0</v>
      </c>
      <c r="F18" s="48">
        <f>SUM(F7:F17)</f>
        <v>0</v>
      </c>
      <c r="G18" s="48">
        <f aca="true" t="shared" si="1" ref="G18:Q18">SUM(G7:G17)</f>
        <v>0</v>
      </c>
      <c r="H18" s="48">
        <f t="shared" si="1"/>
        <v>0</v>
      </c>
      <c r="I18" s="48">
        <f t="shared" si="1"/>
        <v>0</v>
      </c>
      <c r="J18" s="48">
        <f t="shared" si="1"/>
        <v>0</v>
      </c>
      <c r="K18" s="48">
        <f t="shared" si="1"/>
        <v>0</v>
      </c>
      <c r="L18" s="48">
        <f t="shared" si="1"/>
        <v>0</v>
      </c>
      <c r="M18" s="48">
        <f t="shared" si="1"/>
        <v>0</v>
      </c>
      <c r="N18" s="48">
        <f t="shared" si="1"/>
        <v>0</v>
      </c>
      <c r="O18" s="48">
        <f t="shared" si="1"/>
        <v>0</v>
      </c>
      <c r="P18" s="48">
        <f t="shared" si="1"/>
        <v>0</v>
      </c>
      <c r="Q18" s="60">
        <f t="shared" si="1"/>
        <v>0</v>
      </c>
    </row>
    <row r="19" spans="1:17" s="112" customFormat="1" ht="20.25" thickTop="1">
      <c r="A19" s="36" t="s">
        <v>32</v>
      </c>
      <c r="B19" s="45"/>
      <c r="C19" s="43"/>
      <c r="D19" s="43"/>
      <c r="E19" s="43"/>
      <c r="F19" s="46"/>
      <c r="G19" s="46"/>
      <c r="H19" s="43"/>
      <c r="I19" s="46"/>
      <c r="J19" s="46"/>
      <c r="K19" s="46"/>
      <c r="L19" s="46"/>
      <c r="M19" s="46"/>
      <c r="N19" s="46"/>
      <c r="O19" s="46"/>
      <c r="P19" s="46"/>
      <c r="Q19" s="46"/>
    </row>
    <row r="20" spans="1:17" ht="19.5">
      <c r="A20" s="26" t="s">
        <v>41</v>
      </c>
      <c r="B20" s="44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</row>
    <row r="21" spans="1:17" ht="19.5">
      <c r="A21" s="26" t="s">
        <v>42</v>
      </c>
      <c r="B21" s="44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</row>
    <row r="22" spans="1:17" ht="19.5">
      <c r="A22" s="113" t="s">
        <v>262</v>
      </c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</row>
    <row r="23" spans="1:17" ht="19.5">
      <c r="A23" s="113" t="s">
        <v>51</v>
      </c>
      <c r="B23" s="31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</row>
    <row r="24" spans="1:17" ht="19.5">
      <c r="A24" s="113" t="s">
        <v>43</v>
      </c>
      <c r="B24" s="31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</row>
    <row r="25" spans="1:17" ht="19.5">
      <c r="A25" s="113" t="s">
        <v>44</v>
      </c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</row>
    <row r="26" spans="1:17" ht="19.5">
      <c r="A26" s="113" t="s">
        <v>263</v>
      </c>
      <c r="B26" s="31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</row>
    <row r="27" spans="1:17" ht="19.5">
      <c r="A27" s="113" t="s">
        <v>264</v>
      </c>
      <c r="B27" s="31"/>
      <c r="C27" s="30"/>
      <c r="D27" s="30"/>
      <c r="E27" s="30"/>
      <c r="F27" s="31"/>
      <c r="G27" s="31"/>
      <c r="H27" s="31"/>
      <c r="I27" s="31"/>
      <c r="J27" s="31"/>
      <c r="K27" s="31"/>
      <c r="L27" s="31"/>
      <c r="M27" s="31"/>
      <c r="N27" s="31"/>
      <c r="O27" s="30"/>
      <c r="P27" s="30"/>
      <c r="Q27" s="30"/>
    </row>
    <row r="28" spans="1:17" ht="19.5">
      <c r="A28" s="113" t="s">
        <v>265</v>
      </c>
      <c r="B28" s="31"/>
      <c r="C28" s="30"/>
      <c r="D28" s="30"/>
      <c r="E28" s="30"/>
      <c r="F28" s="31"/>
      <c r="G28" s="31"/>
      <c r="H28" s="31"/>
      <c r="I28" s="31"/>
      <c r="J28" s="31"/>
      <c r="K28" s="31"/>
      <c r="L28" s="31"/>
      <c r="M28" s="31"/>
      <c r="N28" s="31"/>
      <c r="O28" s="30"/>
      <c r="P28" s="30"/>
      <c r="Q28" s="30"/>
    </row>
    <row r="29" spans="1:17" ht="21.75" thickBot="1">
      <c r="A29" s="111" t="s">
        <v>38</v>
      </c>
      <c r="B29" s="50">
        <f aca="true" t="shared" si="2" ref="B29:Q29">SUM(B20:B28)</f>
        <v>0</v>
      </c>
      <c r="C29" s="49">
        <f t="shared" si="2"/>
        <v>0</v>
      </c>
      <c r="D29" s="49">
        <f t="shared" si="2"/>
        <v>0</v>
      </c>
      <c r="E29" s="49">
        <f t="shared" si="2"/>
        <v>0</v>
      </c>
      <c r="F29" s="49">
        <f t="shared" si="2"/>
        <v>0</v>
      </c>
      <c r="G29" s="49">
        <f t="shared" si="2"/>
        <v>0</v>
      </c>
      <c r="H29" s="49">
        <f t="shared" si="2"/>
        <v>0</v>
      </c>
      <c r="I29" s="49">
        <f t="shared" si="2"/>
        <v>0</v>
      </c>
      <c r="J29" s="49">
        <f t="shared" si="2"/>
        <v>0</v>
      </c>
      <c r="K29" s="49">
        <f t="shared" si="2"/>
        <v>0</v>
      </c>
      <c r="L29" s="49">
        <f t="shared" si="2"/>
        <v>0</v>
      </c>
      <c r="M29" s="49">
        <f t="shared" si="2"/>
        <v>0</v>
      </c>
      <c r="N29" s="49">
        <f t="shared" si="2"/>
        <v>0</v>
      </c>
      <c r="O29" s="49">
        <f t="shared" si="2"/>
        <v>0</v>
      </c>
      <c r="P29" s="49">
        <f t="shared" si="2"/>
        <v>0</v>
      </c>
      <c r="Q29" s="49">
        <f t="shared" si="2"/>
        <v>0</v>
      </c>
    </row>
    <row r="30" spans="1:5" ht="21" thickBot="1" thickTop="1">
      <c r="A30" s="115" t="s">
        <v>168</v>
      </c>
      <c r="C30" s="186"/>
      <c r="D30" s="187"/>
      <c r="E30" s="51">
        <f>+E29-E18</f>
        <v>0</v>
      </c>
    </row>
    <row r="31" ht="27.75" customHeight="1" thickTop="1"/>
    <row r="32" ht="27.75" customHeight="1">
      <c r="A32" s="167" t="s">
        <v>266</v>
      </c>
    </row>
    <row r="35" spans="2:15" ht="21">
      <c r="B35" s="630" t="s">
        <v>338</v>
      </c>
      <c r="C35" s="630"/>
      <c r="E35" s="2"/>
      <c r="F35" s="2"/>
      <c r="G35" s="2"/>
      <c r="H35" s="630" t="s">
        <v>339</v>
      </c>
      <c r="I35" s="630"/>
      <c r="J35" s="2"/>
      <c r="M35" s="590" t="s">
        <v>342</v>
      </c>
      <c r="N35" s="590"/>
      <c r="O35" s="590"/>
    </row>
    <row r="36" spans="2:15" ht="21">
      <c r="B36" s="630" t="s">
        <v>340</v>
      </c>
      <c r="C36" s="630"/>
      <c r="E36" s="2"/>
      <c r="F36" s="2"/>
      <c r="G36" s="2"/>
      <c r="H36" s="630" t="s">
        <v>372</v>
      </c>
      <c r="I36" s="630"/>
      <c r="J36" s="2"/>
      <c r="M36" s="590" t="s">
        <v>705</v>
      </c>
      <c r="N36" s="590"/>
      <c r="O36" s="590"/>
    </row>
  </sheetData>
  <sheetProtection/>
  <mergeCells count="9">
    <mergeCell ref="B36:C36"/>
    <mergeCell ref="H36:I36"/>
    <mergeCell ref="M36:O36"/>
    <mergeCell ref="A1:O1"/>
    <mergeCell ref="A2:O2"/>
    <mergeCell ref="A3:O3"/>
    <mergeCell ref="B35:C35"/>
    <mergeCell ref="H35:I35"/>
    <mergeCell ref="M35:O35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scale="6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4">
      <selection activeCell="E36" sqref="E36"/>
    </sheetView>
  </sheetViews>
  <sheetFormatPr defaultColWidth="9.140625" defaultRowHeight="15"/>
  <cols>
    <col min="1" max="1" width="3.28125" style="191" customWidth="1"/>
    <col min="2" max="2" width="3.28125" style="193" customWidth="1"/>
    <col min="3" max="3" width="46.57421875" style="194" customWidth="1"/>
    <col min="4" max="4" width="12.421875" style="191" bestFit="1" customWidth="1"/>
    <col min="5" max="5" width="14.421875" style="195" bestFit="1" customWidth="1"/>
    <col min="6" max="16384" width="9.00390625" style="191" customWidth="1"/>
  </cols>
  <sheetData>
    <row r="1" spans="1:5" ht="19.5">
      <c r="A1" s="634" t="str">
        <f>+งบแสดงฐานะการเงิน!A1</f>
        <v>องค์การบริหารส่วนตำบลโพนทอง</v>
      </c>
      <c r="B1" s="634"/>
      <c r="C1" s="634"/>
      <c r="D1" s="634"/>
      <c r="E1" s="634"/>
    </row>
    <row r="2" spans="1:5" ht="19.5">
      <c r="A2" s="634" t="s">
        <v>631</v>
      </c>
      <c r="B2" s="634"/>
      <c r="C2" s="634"/>
      <c r="D2" s="634"/>
      <c r="E2" s="634"/>
    </row>
    <row r="3" spans="1:5" ht="19.5">
      <c r="A3" s="192"/>
      <c r="B3" s="196"/>
      <c r="D3" s="190" t="s">
        <v>30</v>
      </c>
      <c r="E3" s="190" t="s">
        <v>267</v>
      </c>
    </row>
    <row r="4" spans="1:4" ht="19.5">
      <c r="A4" s="192" t="s">
        <v>268</v>
      </c>
      <c r="B4" s="196"/>
      <c r="D4" s="197"/>
    </row>
    <row r="5" spans="1:6" ht="19.5">
      <c r="A5" s="198"/>
      <c r="B5" s="199" t="s">
        <v>269</v>
      </c>
      <c r="D5" s="200"/>
      <c r="F5" s="201"/>
    </row>
    <row r="6" spans="1:5" ht="19.5">
      <c r="A6" s="198"/>
      <c r="B6" s="202">
        <v>1</v>
      </c>
      <c r="C6" s="194" t="s">
        <v>630</v>
      </c>
      <c r="D6" s="203">
        <v>27900</v>
      </c>
      <c r="E6" s="401" t="s">
        <v>692</v>
      </c>
    </row>
    <row r="7" spans="1:5" ht="19.5">
      <c r="A7" s="198"/>
      <c r="B7" s="202">
        <v>2</v>
      </c>
      <c r="C7" s="194" t="s">
        <v>630</v>
      </c>
      <c r="D7" s="204">
        <v>27900</v>
      </c>
      <c r="E7" s="401" t="s">
        <v>692</v>
      </c>
    </row>
    <row r="8" spans="1:4" ht="19.5">
      <c r="A8" s="198"/>
      <c r="B8" s="202">
        <v>3</v>
      </c>
      <c r="D8" s="204"/>
    </row>
    <row r="9" spans="1:5" ht="19.5">
      <c r="A9" s="198"/>
      <c r="B9" s="202"/>
      <c r="C9" s="205" t="s">
        <v>68</v>
      </c>
      <c r="D9" s="206">
        <f>SUM(D6:D8)</f>
        <v>55800</v>
      </c>
      <c r="E9" s="401" t="s">
        <v>692</v>
      </c>
    </row>
    <row r="10" spans="1:4" ht="19.5">
      <c r="A10" s="198"/>
      <c r="B10" s="199" t="s">
        <v>270</v>
      </c>
      <c r="D10" s="207"/>
    </row>
    <row r="11" spans="1:4" ht="20.25" thickBot="1">
      <c r="A11" s="198"/>
      <c r="B11" s="202">
        <v>1</v>
      </c>
      <c r="D11" s="204"/>
    </row>
    <row r="12" spans="1:8" ht="20.25" thickBot="1">
      <c r="A12" s="198"/>
      <c r="B12" s="202">
        <v>2</v>
      </c>
      <c r="D12" s="204"/>
      <c r="H12" s="208"/>
    </row>
    <row r="13" spans="1:4" ht="19.5">
      <c r="A13" s="198"/>
      <c r="B13" s="209"/>
      <c r="C13" s="205" t="s">
        <v>68</v>
      </c>
      <c r="D13" s="206"/>
    </row>
    <row r="14" spans="1:4" ht="19.5">
      <c r="A14" s="210"/>
      <c r="B14" s="199" t="s">
        <v>271</v>
      </c>
      <c r="C14" s="211"/>
      <c r="D14" s="207"/>
    </row>
    <row r="15" spans="1:4" ht="19.5">
      <c r="A15" s="210"/>
      <c r="B15" s="202">
        <v>1</v>
      </c>
      <c r="C15" s="211"/>
      <c r="D15" s="207"/>
    </row>
    <row r="16" spans="1:5" s="201" customFormat="1" ht="19.5">
      <c r="A16" s="212"/>
      <c r="B16" s="209"/>
      <c r="C16" s="213" t="s">
        <v>68</v>
      </c>
      <c r="D16" s="214"/>
      <c r="E16" s="215"/>
    </row>
    <row r="17" spans="1:4" ht="19.5">
      <c r="A17" s="210"/>
      <c r="B17" s="199" t="s">
        <v>272</v>
      </c>
      <c r="C17" s="211"/>
      <c r="D17" s="216"/>
    </row>
    <row r="18" spans="1:5" ht="19.5">
      <c r="A18" s="210"/>
      <c r="B18" s="202">
        <v>1</v>
      </c>
      <c r="C18" s="211" t="s">
        <v>632</v>
      </c>
      <c r="D18" s="207">
        <v>16000</v>
      </c>
      <c r="E18" s="401" t="s">
        <v>692</v>
      </c>
    </row>
    <row r="19" spans="1:4" ht="19.5">
      <c r="A19" s="210"/>
      <c r="B19" s="202">
        <v>2</v>
      </c>
      <c r="C19" s="211"/>
      <c r="D19" s="207"/>
    </row>
    <row r="20" spans="1:4" ht="19.5">
      <c r="A20" s="210"/>
      <c r="B20" s="209"/>
      <c r="C20" s="213" t="s">
        <v>68</v>
      </c>
      <c r="D20" s="217">
        <f>SUM(D18:D19)</f>
        <v>16000</v>
      </c>
    </row>
    <row r="21" spans="1:4" ht="19.5">
      <c r="A21" s="210"/>
      <c r="B21" s="209"/>
      <c r="C21" s="211"/>
      <c r="D21" s="207"/>
    </row>
    <row r="22" spans="1:4" ht="19.5">
      <c r="A22" s="210"/>
      <c r="B22" s="209"/>
      <c r="C22" s="211"/>
      <c r="D22" s="207"/>
    </row>
    <row r="23" spans="1:4" ht="19.5">
      <c r="A23" s="210"/>
      <c r="B23" s="199" t="s">
        <v>633</v>
      </c>
      <c r="C23" s="211"/>
      <c r="D23" s="216"/>
    </row>
    <row r="24" spans="1:5" ht="19.5">
      <c r="A24" s="210"/>
      <c r="B24" s="202">
        <v>1</v>
      </c>
      <c r="C24" s="211" t="s">
        <v>635</v>
      </c>
      <c r="D24" s="207">
        <v>8000</v>
      </c>
      <c r="E24" s="401" t="s">
        <v>692</v>
      </c>
    </row>
    <row r="25" spans="2:4" ht="19.5">
      <c r="B25" s="202">
        <v>2</v>
      </c>
      <c r="C25" s="211"/>
      <c r="D25" s="207"/>
    </row>
    <row r="26" spans="2:4" ht="19.5">
      <c r="B26" s="209"/>
      <c r="C26" s="213" t="s">
        <v>68</v>
      </c>
      <c r="D26" s="217">
        <f>SUM(D24:D25)</f>
        <v>8000</v>
      </c>
    </row>
    <row r="28" spans="2:4" ht="19.5">
      <c r="B28" s="199" t="s">
        <v>634</v>
      </c>
      <c r="C28" s="211"/>
      <c r="D28" s="216"/>
    </row>
    <row r="29" spans="2:5" ht="19.5">
      <c r="B29" s="202">
        <v>1</v>
      </c>
      <c r="C29" s="211" t="s">
        <v>636</v>
      </c>
      <c r="D29" s="207">
        <v>6000</v>
      </c>
      <c r="E29" s="401" t="s">
        <v>692</v>
      </c>
    </row>
    <row r="30" spans="2:4" ht="19.5">
      <c r="B30" s="202">
        <v>2</v>
      </c>
      <c r="C30" s="211"/>
      <c r="D30" s="207"/>
    </row>
    <row r="31" spans="2:4" ht="19.5">
      <c r="B31" s="209"/>
      <c r="C31" s="213" t="s">
        <v>68</v>
      </c>
      <c r="D31" s="217">
        <f>SUM(D29:D30)</f>
        <v>6000</v>
      </c>
    </row>
    <row r="33" spans="3:4" ht="19.5">
      <c r="C33" s="399" t="s">
        <v>73</v>
      </c>
      <c r="D33" s="400">
        <f>+D9+D13+D16+D20+D26+D31</f>
        <v>85800</v>
      </c>
    </row>
    <row r="34" spans="3:4" ht="19.5">
      <c r="C34" s="399"/>
      <c r="D34" s="400"/>
    </row>
    <row r="36" ht="19.5">
      <c r="A36" s="191" t="s">
        <v>707</v>
      </c>
    </row>
    <row r="37" ht="19.5">
      <c r="A37" s="191" t="s">
        <v>706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3"/>
  <sheetViews>
    <sheetView view="pageBreakPreview" zoomScale="60" zoomScalePageLayoutView="0" workbookViewId="0" topLeftCell="A52">
      <selection activeCell="F42" sqref="F42"/>
    </sheetView>
  </sheetViews>
  <sheetFormatPr defaultColWidth="9.140625" defaultRowHeight="15"/>
  <cols>
    <col min="1" max="1" width="53.00390625" style="0" customWidth="1"/>
    <col min="2" max="2" width="12.7109375" style="0" customWidth="1"/>
    <col min="3" max="3" width="17.7109375" style="0" customWidth="1"/>
    <col min="4" max="4" width="17.421875" style="0" customWidth="1"/>
    <col min="5" max="5" width="6.00390625" style="0" customWidth="1"/>
    <col min="6" max="6" width="16.7109375" style="0" customWidth="1"/>
    <col min="7" max="7" width="19.8515625" style="0" customWidth="1"/>
  </cols>
  <sheetData>
    <row r="1" spans="1:6" s="256" customFormat="1" ht="21">
      <c r="A1" s="559" t="s">
        <v>412</v>
      </c>
      <c r="B1" s="559"/>
      <c r="C1" s="559"/>
      <c r="D1" s="559"/>
      <c r="E1" s="559"/>
      <c r="F1" s="559"/>
    </row>
    <row r="2" spans="1:6" s="256" customFormat="1" ht="21">
      <c r="A2" s="559" t="s">
        <v>513</v>
      </c>
      <c r="B2" s="559"/>
      <c r="C2" s="559"/>
      <c r="D2" s="559"/>
      <c r="E2" s="559"/>
      <c r="F2" s="559"/>
    </row>
    <row r="3" spans="1:6" s="256" customFormat="1" ht="21">
      <c r="A3" s="559" t="s">
        <v>413</v>
      </c>
      <c r="B3" s="559"/>
      <c r="C3" s="559"/>
      <c r="D3" s="559"/>
      <c r="E3" s="559"/>
      <c r="F3" s="559"/>
    </row>
    <row r="4" spans="1:6" s="256" customFormat="1" ht="21">
      <c r="A4" s="569" t="s">
        <v>31</v>
      </c>
      <c r="B4" s="569" t="s">
        <v>305</v>
      </c>
      <c r="C4" s="571" t="s">
        <v>29</v>
      </c>
      <c r="D4" s="571" t="s">
        <v>414</v>
      </c>
      <c r="E4" s="312" t="s">
        <v>375</v>
      </c>
      <c r="F4" s="312" t="s">
        <v>376</v>
      </c>
    </row>
    <row r="5" spans="1:6" s="256" customFormat="1" ht="21">
      <c r="A5" s="570"/>
      <c r="B5" s="570"/>
      <c r="C5" s="572"/>
      <c r="D5" s="572"/>
      <c r="E5" s="312" t="s">
        <v>377</v>
      </c>
      <c r="F5" s="312" t="s">
        <v>378</v>
      </c>
    </row>
    <row r="6" spans="1:6" s="256" customFormat="1" ht="21">
      <c r="A6" s="313" t="s">
        <v>415</v>
      </c>
      <c r="B6" s="314"/>
      <c r="C6" s="315"/>
      <c r="D6" s="176"/>
      <c r="E6" s="176"/>
      <c r="F6" s="176"/>
    </row>
    <row r="7" spans="1:6" s="256" customFormat="1" ht="21">
      <c r="A7" s="273" t="s">
        <v>416</v>
      </c>
      <c r="B7" s="281">
        <v>41000000</v>
      </c>
      <c r="C7" s="264"/>
      <c r="D7" s="264"/>
      <c r="E7" s="264"/>
      <c r="F7" s="264"/>
    </row>
    <row r="8" spans="1:7" s="256" customFormat="1" ht="21">
      <c r="A8" s="262" t="s">
        <v>417</v>
      </c>
      <c r="B8" s="281">
        <v>41100001</v>
      </c>
      <c r="C8" s="264">
        <v>70000</v>
      </c>
      <c r="D8" s="264">
        <v>81687</v>
      </c>
      <c r="E8" s="270" t="s">
        <v>375</v>
      </c>
      <c r="F8" s="264">
        <v>11687</v>
      </c>
      <c r="G8" s="307">
        <f>+D8-C8</f>
        <v>11687</v>
      </c>
    </row>
    <row r="9" spans="1:7" s="256" customFormat="1" ht="21">
      <c r="A9" s="262" t="s">
        <v>418</v>
      </c>
      <c r="B9" s="281">
        <v>41100002</v>
      </c>
      <c r="C9" s="264">
        <v>35000</v>
      </c>
      <c r="D9" s="264">
        <v>38269.28</v>
      </c>
      <c r="E9" s="270" t="s">
        <v>375</v>
      </c>
      <c r="F9" s="264">
        <v>3269.28</v>
      </c>
      <c r="G9" s="307">
        <f aca="true" t="shared" si="0" ref="G9:G21">+D9-C9</f>
        <v>3269.279999999999</v>
      </c>
    </row>
    <row r="10" spans="1:7" s="256" customFormat="1" ht="21">
      <c r="A10" s="262" t="s">
        <v>419</v>
      </c>
      <c r="B10" s="281">
        <v>41100003</v>
      </c>
      <c r="C10" s="264">
        <v>30000</v>
      </c>
      <c r="D10" s="264">
        <v>76327</v>
      </c>
      <c r="E10" s="270" t="s">
        <v>375</v>
      </c>
      <c r="F10" s="264">
        <v>46327</v>
      </c>
      <c r="G10" s="307">
        <f t="shared" si="0"/>
        <v>46327</v>
      </c>
    </row>
    <row r="11" spans="1:7" s="256" customFormat="1" ht="21.75" thickBot="1">
      <c r="A11" s="316" t="s">
        <v>68</v>
      </c>
      <c r="B11" s="262"/>
      <c r="C11" s="317">
        <f>SUM(C8:C10)</f>
        <v>135000</v>
      </c>
      <c r="D11" s="317">
        <f>SUM(D8:D10)</f>
        <v>196283.28</v>
      </c>
      <c r="E11" s="318" t="s">
        <v>375</v>
      </c>
      <c r="F11" s="317">
        <f>+D11-C11</f>
        <v>61283.28</v>
      </c>
      <c r="G11" s="307">
        <f t="shared" si="0"/>
        <v>61283.28</v>
      </c>
    </row>
    <row r="12" spans="1:7" s="256" customFormat="1" ht="21.75" thickTop="1">
      <c r="A12" s="273" t="s">
        <v>420</v>
      </c>
      <c r="B12" s="281">
        <v>41200000</v>
      </c>
      <c r="C12" s="319"/>
      <c r="D12" s="264"/>
      <c r="E12" s="270"/>
      <c r="F12" s="264"/>
      <c r="G12" s="307">
        <f t="shared" si="0"/>
        <v>0</v>
      </c>
    </row>
    <row r="13" spans="1:7" s="256" customFormat="1" ht="21">
      <c r="A13" s="262" t="s">
        <v>421</v>
      </c>
      <c r="B13" s="281">
        <v>41210004</v>
      </c>
      <c r="C13" s="264">
        <v>500</v>
      </c>
      <c r="D13" s="264">
        <v>1193.1</v>
      </c>
      <c r="E13" s="270" t="s">
        <v>375</v>
      </c>
      <c r="F13" s="264">
        <v>693.1</v>
      </c>
      <c r="G13" s="307">
        <f t="shared" si="0"/>
        <v>693.0999999999999</v>
      </c>
    </row>
    <row r="14" spans="1:7" s="256" customFormat="1" ht="21">
      <c r="A14" s="262" t="s">
        <v>422</v>
      </c>
      <c r="B14" s="281">
        <v>41210007</v>
      </c>
      <c r="C14" s="264">
        <v>1000</v>
      </c>
      <c r="D14" s="264">
        <v>2315</v>
      </c>
      <c r="E14" s="270" t="s">
        <v>375</v>
      </c>
      <c r="F14" s="264">
        <v>1315</v>
      </c>
      <c r="G14" s="307">
        <f t="shared" si="0"/>
        <v>1315</v>
      </c>
    </row>
    <row r="15" spans="1:7" s="256" customFormat="1" ht="21">
      <c r="A15" s="262" t="s">
        <v>423</v>
      </c>
      <c r="B15" s="281">
        <v>41210010</v>
      </c>
      <c r="C15" s="264">
        <v>6000</v>
      </c>
      <c r="D15" s="264">
        <v>3600</v>
      </c>
      <c r="E15" s="270" t="s">
        <v>377</v>
      </c>
      <c r="F15" s="264">
        <v>2400</v>
      </c>
      <c r="G15" s="307">
        <f t="shared" si="0"/>
        <v>-2400</v>
      </c>
    </row>
    <row r="16" spans="1:7" s="256" customFormat="1" ht="21">
      <c r="A16" s="262" t="s">
        <v>424</v>
      </c>
      <c r="B16" s="281">
        <v>41210029</v>
      </c>
      <c r="C16" s="264">
        <v>200</v>
      </c>
      <c r="D16" s="264">
        <v>440</v>
      </c>
      <c r="E16" s="270" t="s">
        <v>375</v>
      </c>
      <c r="F16" s="264">
        <v>240</v>
      </c>
      <c r="G16" s="307">
        <f t="shared" si="0"/>
        <v>240</v>
      </c>
    </row>
    <row r="17" spans="1:7" s="256" customFormat="1" ht="21">
      <c r="A17" s="262" t="s">
        <v>514</v>
      </c>
      <c r="B17" s="281">
        <v>41219999</v>
      </c>
      <c r="C17" s="264">
        <v>300</v>
      </c>
      <c r="D17" s="264">
        <v>1125</v>
      </c>
      <c r="E17" s="270" t="s">
        <v>375</v>
      </c>
      <c r="F17" s="264">
        <v>825</v>
      </c>
      <c r="G17" s="307">
        <f t="shared" si="0"/>
        <v>825</v>
      </c>
    </row>
    <row r="18" spans="1:7" s="256" customFormat="1" ht="21">
      <c r="A18" s="262" t="s">
        <v>515</v>
      </c>
      <c r="B18" s="281">
        <v>41220010</v>
      </c>
      <c r="C18" s="264">
        <v>100000</v>
      </c>
      <c r="D18" s="264">
        <v>83602</v>
      </c>
      <c r="E18" s="270" t="s">
        <v>383</v>
      </c>
      <c r="F18" s="264">
        <v>16398</v>
      </c>
      <c r="G18" s="307">
        <f t="shared" si="0"/>
        <v>-16398</v>
      </c>
    </row>
    <row r="19" spans="1:7" s="256" customFormat="1" ht="21">
      <c r="A19" s="262" t="s">
        <v>516</v>
      </c>
      <c r="B19" s="281">
        <v>41229999</v>
      </c>
      <c r="C19" s="264">
        <v>500</v>
      </c>
      <c r="D19" s="264">
        <v>0</v>
      </c>
      <c r="E19" s="270" t="s">
        <v>383</v>
      </c>
      <c r="F19" s="264">
        <v>500</v>
      </c>
      <c r="G19" s="307">
        <f t="shared" si="0"/>
        <v>-500</v>
      </c>
    </row>
    <row r="20" spans="1:7" s="256" customFormat="1" ht="21">
      <c r="A20" s="262" t="s">
        <v>517</v>
      </c>
      <c r="B20" s="281">
        <v>41230002</v>
      </c>
      <c r="C20" s="264">
        <v>2500</v>
      </c>
      <c r="D20" s="264">
        <v>3000</v>
      </c>
      <c r="E20" s="270" t="s">
        <v>375</v>
      </c>
      <c r="F20" s="264">
        <v>500</v>
      </c>
      <c r="G20" s="307">
        <f t="shared" si="0"/>
        <v>500</v>
      </c>
    </row>
    <row r="21" spans="1:7" s="256" customFormat="1" ht="21">
      <c r="A21" s="262" t="s">
        <v>518</v>
      </c>
      <c r="B21" s="281">
        <v>41230003</v>
      </c>
      <c r="C21" s="264">
        <v>4500</v>
      </c>
      <c r="D21" s="264">
        <v>10800</v>
      </c>
      <c r="E21" s="270" t="s">
        <v>375</v>
      </c>
      <c r="F21" s="264">
        <v>6300</v>
      </c>
      <c r="G21" s="307">
        <f t="shared" si="0"/>
        <v>6300</v>
      </c>
    </row>
    <row r="22" spans="1:7" s="323" customFormat="1" ht="21">
      <c r="A22" s="274"/>
      <c r="B22" s="320"/>
      <c r="C22" s="267"/>
      <c r="D22" s="267"/>
      <c r="E22" s="321"/>
      <c r="F22" s="267"/>
      <c r="G22" s="322"/>
    </row>
    <row r="23" spans="1:7" s="323" customFormat="1" ht="21">
      <c r="A23" s="274"/>
      <c r="B23" s="320"/>
      <c r="C23" s="267"/>
      <c r="D23" s="267"/>
      <c r="E23" s="321"/>
      <c r="F23" s="267"/>
      <c r="G23" s="322"/>
    </row>
    <row r="24" spans="1:7" s="323" customFormat="1" ht="21">
      <c r="A24" s="274"/>
      <c r="B24" s="320" t="s">
        <v>334</v>
      </c>
      <c r="C24" s="267"/>
      <c r="D24" s="267"/>
      <c r="E24" s="324"/>
      <c r="F24" s="278"/>
      <c r="G24" s="322"/>
    </row>
    <row r="25" spans="1:6" s="256" customFormat="1" ht="21">
      <c r="A25" s="569" t="s">
        <v>31</v>
      </c>
      <c r="B25" s="569" t="s">
        <v>305</v>
      </c>
      <c r="C25" s="571" t="s">
        <v>29</v>
      </c>
      <c r="D25" s="571" t="s">
        <v>414</v>
      </c>
      <c r="E25" s="325" t="s">
        <v>375</v>
      </c>
      <c r="F25" s="325" t="s">
        <v>376</v>
      </c>
    </row>
    <row r="26" spans="1:6" s="256" customFormat="1" ht="21">
      <c r="A26" s="570"/>
      <c r="B26" s="570"/>
      <c r="C26" s="572"/>
      <c r="D26" s="572"/>
      <c r="E26" s="312" t="s">
        <v>377</v>
      </c>
      <c r="F26" s="312" t="s">
        <v>378</v>
      </c>
    </row>
    <row r="27" spans="1:7" s="256" customFormat="1" ht="21">
      <c r="A27" s="271" t="s">
        <v>519</v>
      </c>
      <c r="B27" s="281">
        <v>41230004</v>
      </c>
      <c r="C27" s="264">
        <v>2000</v>
      </c>
      <c r="D27" s="264">
        <v>2000</v>
      </c>
      <c r="E27" s="270" t="s">
        <v>383</v>
      </c>
      <c r="F27" s="264">
        <v>0</v>
      </c>
      <c r="G27" s="307">
        <f aca="true" t="shared" si="1" ref="G27:G83">+D27-C27</f>
        <v>0</v>
      </c>
    </row>
    <row r="28" spans="1:7" s="256" customFormat="1" ht="21">
      <c r="A28" s="262" t="s">
        <v>520</v>
      </c>
      <c r="B28" s="281">
        <v>41230005</v>
      </c>
      <c r="C28" s="264">
        <v>1000</v>
      </c>
      <c r="D28" s="264">
        <v>200</v>
      </c>
      <c r="E28" s="270" t="s">
        <v>377</v>
      </c>
      <c r="F28" s="264">
        <v>800</v>
      </c>
      <c r="G28" s="307">
        <f t="shared" si="1"/>
        <v>-800</v>
      </c>
    </row>
    <row r="29" spans="1:7" s="256" customFormat="1" ht="21">
      <c r="A29" s="262" t="s">
        <v>521</v>
      </c>
      <c r="B29" s="281">
        <v>41230006</v>
      </c>
      <c r="C29" s="264">
        <v>1000</v>
      </c>
      <c r="D29" s="264">
        <v>0</v>
      </c>
      <c r="E29" s="270" t="s">
        <v>377</v>
      </c>
      <c r="F29" s="264">
        <v>1000</v>
      </c>
      <c r="G29" s="307">
        <f t="shared" si="1"/>
        <v>-1000</v>
      </c>
    </row>
    <row r="30" spans="1:7" s="256" customFormat="1" ht="21">
      <c r="A30" s="262" t="s">
        <v>522</v>
      </c>
      <c r="B30" s="281">
        <v>41230007</v>
      </c>
      <c r="C30" s="264">
        <v>500</v>
      </c>
      <c r="D30" s="264">
        <v>500</v>
      </c>
      <c r="E30" s="270" t="s">
        <v>377</v>
      </c>
      <c r="F30" s="264">
        <v>0</v>
      </c>
      <c r="G30" s="307">
        <f t="shared" si="1"/>
        <v>0</v>
      </c>
    </row>
    <row r="31" spans="1:7" s="256" customFormat="1" ht="21">
      <c r="A31" s="262" t="s">
        <v>523</v>
      </c>
      <c r="B31" s="281">
        <v>41239999</v>
      </c>
      <c r="C31" s="264">
        <v>1000</v>
      </c>
      <c r="D31" s="264">
        <v>2540</v>
      </c>
      <c r="E31" s="270" t="s">
        <v>388</v>
      </c>
      <c r="F31" s="264">
        <v>1540</v>
      </c>
      <c r="G31" s="307">
        <f t="shared" si="1"/>
        <v>1540</v>
      </c>
    </row>
    <row r="32" spans="1:7" s="256" customFormat="1" ht="21.75" thickBot="1">
      <c r="A32" s="316" t="s">
        <v>68</v>
      </c>
      <c r="B32" s="262"/>
      <c r="C32" s="317">
        <f>SUM(C13:C31)</f>
        <v>121000</v>
      </c>
      <c r="D32" s="317">
        <f>SUM(D13:D31)</f>
        <v>111315.1</v>
      </c>
      <c r="E32" s="318" t="s">
        <v>383</v>
      </c>
      <c r="F32" s="317">
        <v>9684.9</v>
      </c>
      <c r="G32" s="307">
        <f t="shared" si="1"/>
        <v>-9684.899999999994</v>
      </c>
    </row>
    <row r="33" spans="1:7" s="256" customFormat="1" ht="21.75" thickTop="1">
      <c r="A33" s="273" t="s">
        <v>425</v>
      </c>
      <c r="B33" s="281">
        <v>41300000</v>
      </c>
      <c r="C33" s="319"/>
      <c r="D33" s="264"/>
      <c r="E33" s="264"/>
      <c r="F33" s="264"/>
      <c r="G33" s="307">
        <f t="shared" si="1"/>
        <v>0</v>
      </c>
    </row>
    <row r="34" spans="1:7" s="256" customFormat="1" ht="21">
      <c r="A34" s="262" t="s">
        <v>426</v>
      </c>
      <c r="B34" s="281">
        <v>41300002</v>
      </c>
      <c r="C34" s="264">
        <v>1000</v>
      </c>
      <c r="D34" s="264">
        <v>500</v>
      </c>
      <c r="E34" s="270" t="s">
        <v>377</v>
      </c>
      <c r="F34" s="264">
        <v>500</v>
      </c>
      <c r="G34" s="307">
        <f t="shared" si="1"/>
        <v>-500</v>
      </c>
    </row>
    <row r="35" spans="1:7" s="256" customFormat="1" ht="21">
      <c r="A35" s="262" t="s">
        <v>427</v>
      </c>
      <c r="B35" s="281">
        <v>41300003</v>
      </c>
      <c r="C35" s="264">
        <v>130000</v>
      </c>
      <c r="D35" s="264">
        <v>133747.2</v>
      </c>
      <c r="E35" s="326" t="s">
        <v>388</v>
      </c>
      <c r="F35" s="326">
        <v>3747.2</v>
      </c>
      <c r="G35" s="307">
        <f t="shared" si="1"/>
        <v>3747.2000000000116</v>
      </c>
    </row>
    <row r="36" spans="1:7" s="256" customFormat="1" ht="21.75" thickBot="1">
      <c r="A36" s="316" t="s">
        <v>68</v>
      </c>
      <c r="B36" s="262"/>
      <c r="C36" s="317">
        <f>SUM(C34:C35)</f>
        <v>131000</v>
      </c>
      <c r="D36" s="317">
        <f>SUM(D34:D35)</f>
        <v>134247.2</v>
      </c>
      <c r="E36" s="327" t="s">
        <v>388</v>
      </c>
      <c r="F36" s="328">
        <v>3247.2</v>
      </c>
      <c r="G36" s="307">
        <f t="shared" si="1"/>
        <v>3247.2000000000116</v>
      </c>
    </row>
    <row r="37" spans="1:7" s="256" customFormat="1" ht="21.75" thickTop="1">
      <c r="A37" s="273" t="s">
        <v>428</v>
      </c>
      <c r="B37" s="281">
        <v>41500000</v>
      </c>
      <c r="C37" s="319"/>
      <c r="D37" s="264"/>
      <c r="E37" s="326"/>
      <c r="F37" s="326"/>
      <c r="G37" s="307">
        <f t="shared" si="1"/>
        <v>0</v>
      </c>
    </row>
    <row r="38" spans="1:7" s="256" customFormat="1" ht="21">
      <c r="A38" s="262" t="s">
        <v>429</v>
      </c>
      <c r="B38" s="281">
        <v>41500004</v>
      </c>
      <c r="C38" s="264">
        <v>1000</v>
      </c>
      <c r="D38" s="264">
        <v>0</v>
      </c>
      <c r="E38" s="326" t="s">
        <v>383</v>
      </c>
      <c r="F38" s="326">
        <v>1000</v>
      </c>
      <c r="G38" s="307">
        <f t="shared" si="1"/>
        <v>-1000</v>
      </c>
    </row>
    <row r="39" spans="1:7" s="256" customFormat="1" ht="21">
      <c r="A39" s="262" t="s">
        <v>430</v>
      </c>
      <c r="B39" s="281">
        <v>41599999</v>
      </c>
      <c r="C39" s="264">
        <v>15000</v>
      </c>
      <c r="D39" s="264">
        <v>6810.5</v>
      </c>
      <c r="E39" s="326" t="s">
        <v>377</v>
      </c>
      <c r="F39" s="326">
        <v>8189.5</v>
      </c>
      <c r="G39" s="307">
        <f t="shared" si="1"/>
        <v>-8189.5</v>
      </c>
    </row>
    <row r="40" spans="1:7" s="256" customFormat="1" ht="21">
      <c r="A40" s="316" t="s">
        <v>68</v>
      </c>
      <c r="B40" s="262"/>
      <c r="C40" s="329">
        <f>SUM(C38:C39)</f>
        <v>16000</v>
      </c>
      <c r="D40" s="329">
        <f>SUM(D38:D39)</f>
        <v>6810.5</v>
      </c>
      <c r="E40" s="254" t="s">
        <v>383</v>
      </c>
      <c r="F40" s="330">
        <v>9189.5</v>
      </c>
      <c r="G40" s="307">
        <f t="shared" si="1"/>
        <v>-9189.5</v>
      </c>
    </row>
    <row r="41" spans="1:7" s="256" customFormat="1" ht="21">
      <c r="A41" s="331" t="s">
        <v>431</v>
      </c>
      <c r="B41" s="281">
        <v>42000000</v>
      </c>
      <c r="C41" s="319"/>
      <c r="D41" s="264"/>
      <c r="E41" s="326"/>
      <c r="F41" s="326"/>
      <c r="G41" s="307">
        <f t="shared" si="1"/>
        <v>0</v>
      </c>
    </row>
    <row r="42" spans="1:7" s="256" customFormat="1" ht="21">
      <c r="A42" s="273" t="s">
        <v>432</v>
      </c>
      <c r="B42" s="281">
        <v>42100000</v>
      </c>
      <c r="C42" s="264"/>
      <c r="D42" s="264"/>
      <c r="E42" s="326"/>
      <c r="F42" s="326"/>
      <c r="G42" s="307">
        <f t="shared" si="1"/>
        <v>0</v>
      </c>
    </row>
    <row r="43" spans="1:7" s="256" customFormat="1" ht="21">
      <c r="A43" s="262" t="s">
        <v>433</v>
      </c>
      <c r="B43" s="281">
        <v>42100001</v>
      </c>
      <c r="C43" s="264">
        <v>377000</v>
      </c>
      <c r="D43" s="264">
        <v>455854.37</v>
      </c>
      <c r="E43" s="326" t="s">
        <v>375</v>
      </c>
      <c r="F43" s="326">
        <v>78854.37</v>
      </c>
      <c r="G43" s="307">
        <f t="shared" si="1"/>
        <v>78854.37</v>
      </c>
    </row>
    <row r="44" spans="1:7" s="256" customFormat="1" ht="21">
      <c r="A44" s="262" t="s">
        <v>434</v>
      </c>
      <c r="B44" s="281">
        <v>42100002</v>
      </c>
      <c r="C44" s="264">
        <v>9300000</v>
      </c>
      <c r="D44" s="264">
        <v>9750958.08</v>
      </c>
      <c r="E44" s="326" t="s">
        <v>375</v>
      </c>
      <c r="F44" s="326">
        <v>450958.08</v>
      </c>
      <c r="G44" s="307">
        <f t="shared" si="1"/>
        <v>450958.0800000001</v>
      </c>
    </row>
    <row r="45" spans="1:7" s="256" customFormat="1" ht="21">
      <c r="A45" s="262" t="s">
        <v>435</v>
      </c>
      <c r="B45" s="281">
        <v>42100004</v>
      </c>
      <c r="C45" s="264">
        <v>1500000</v>
      </c>
      <c r="D45" s="264">
        <v>1567340.42</v>
      </c>
      <c r="E45" s="326" t="s">
        <v>375</v>
      </c>
      <c r="F45" s="326">
        <v>67340.42</v>
      </c>
      <c r="G45" s="307">
        <f t="shared" si="1"/>
        <v>67340.41999999993</v>
      </c>
    </row>
    <row r="46" spans="1:7" s="256" customFormat="1" ht="21">
      <c r="A46" s="274"/>
      <c r="B46" s="320"/>
      <c r="C46" s="267"/>
      <c r="D46" s="267"/>
      <c r="E46" s="388"/>
      <c r="F46" s="388"/>
      <c r="G46" s="307"/>
    </row>
    <row r="47" spans="1:7" s="323" customFormat="1" ht="21">
      <c r="A47" s="274"/>
      <c r="B47" s="320" t="s">
        <v>436</v>
      </c>
      <c r="C47" s="267"/>
      <c r="D47" s="267"/>
      <c r="E47" s="332"/>
      <c r="F47" s="332"/>
      <c r="G47" s="307">
        <f t="shared" si="1"/>
        <v>0</v>
      </c>
    </row>
    <row r="48" spans="1:7" s="256" customFormat="1" ht="21">
      <c r="A48" s="569" t="s">
        <v>31</v>
      </c>
      <c r="B48" s="569" t="s">
        <v>305</v>
      </c>
      <c r="C48" s="571" t="s">
        <v>29</v>
      </c>
      <c r="D48" s="571" t="s">
        <v>414</v>
      </c>
      <c r="E48" s="325" t="s">
        <v>375</v>
      </c>
      <c r="F48" s="325" t="s">
        <v>376</v>
      </c>
      <c r="G48" s="307" t="e">
        <f t="shared" si="1"/>
        <v>#VALUE!</v>
      </c>
    </row>
    <row r="49" spans="1:7" s="256" customFormat="1" ht="21">
      <c r="A49" s="570"/>
      <c r="B49" s="570"/>
      <c r="C49" s="572"/>
      <c r="D49" s="572"/>
      <c r="E49" s="312" t="s">
        <v>377</v>
      </c>
      <c r="F49" s="312" t="s">
        <v>378</v>
      </c>
      <c r="G49" s="307">
        <f t="shared" si="1"/>
        <v>0</v>
      </c>
    </row>
    <row r="50" spans="1:7" s="256" customFormat="1" ht="21">
      <c r="A50" s="262" t="s">
        <v>437</v>
      </c>
      <c r="B50" s="281">
        <v>42100005</v>
      </c>
      <c r="C50" s="264">
        <v>88000</v>
      </c>
      <c r="D50" s="264">
        <v>75507.29</v>
      </c>
      <c r="E50" s="326" t="s">
        <v>377</v>
      </c>
      <c r="F50" s="264">
        <v>12492.71</v>
      </c>
      <c r="G50" s="307">
        <f t="shared" si="1"/>
        <v>-12492.710000000006</v>
      </c>
    </row>
    <row r="51" spans="1:7" s="256" customFormat="1" ht="21">
      <c r="A51" s="262" t="s">
        <v>438</v>
      </c>
      <c r="B51" s="281">
        <v>42100006</v>
      </c>
      <c r="C51" s="264">
        <v>680000</v>
      </c>
      <c r="D51" s="264">
        <v>0</v>
      </c>
      <c r="E51" s="326" t="s">
        <v>377</v>
      </c>
      <c r="F51" s="264">
        <v>680000</v>
      </c>
      <c r="G51" s="307">
        <f t="shared" si="1"/>
        <v>-680000</v>
      </c>
    </row>
    <row r="52" spans="1:7" s="256" customFormat="1" ht="21">
      <c r="A52" s="262" t="s">
        <v>439</v>
      </c>
      <c r="B52" s="281">
        <v>42100007</v>
      </c>
      <c r="C52" s="264">
        <v>1300000</v>
      </c>
      <c r="D52" s="264">
        <v>2663291.78</v>
      </c>
      <c r="E52" s="326" t="s">
        <v>375</v>
      </c>
      <c r="F52" s="308">
        <v>1363291.78</v>
      </c>
      <c r="G52" s="307">
        <f t="shared" si="1"/>
        <v>1363291.7799999998</v>
      </c>
    </row>
    <row r="53" spans="1:7" s="256" customFormat="1" ht="21">
      <c r="A53" s="262" t="s">
        <v>440</v>
      </c>
      <c r="B53" s="281">
        <v>42100011</v>
      </c>
      <c r="C53" s="264">
        <v>4000</v>
      </c>
      <c r="D53" s="264">
        <v>0</v>
      </c>
      <c r="E53" s="326" t="s">
        <v>383</v>
      </c>
      <c r="F53" s="308">
        <v>4000</v>
      </c>
      <c r="G53" s="307">
        <f t="shared" si="1"/>
        <v>-4000</v>
      </c>
    </row>
    <row r="54" spans="1:7" s="256" customFormat="1" ht="21">
      <c r="A54" s="262" t="s">
        <v>441</v>
      </c>
      <c r="B54" s="281">
        <v>42100012</v>
      </c>
      <c r="C54" s="264">
        <v>37000</v>
      </c>
      <c r="D54" s="264">
        <v>38381.59</v>
      </c>
      <c r="E54" s="270" t="s">
        <v>375</v>
      </c>
      <c r="F54" s="264">
        <v>1381.59</v>
      </c>
      <c r="G54" s="307">
        <f t="shared" si="1"/>
        <v>1381.5899999999965</v>
      </c>
    </row>
    <row r="55" spans="1:7" s="256" customFormat="1" ht="21">
      <c r="A55" s="262" t="s">
        <v>442</v>
      </c>
      <c r="B55" s="281">
        <v>42100013</v>
      </c>
      <c r="C55" s="264">
        <v>25000</v>
      </c>
      <c r="D55" s="264">
        <v>20792.27</v>
      </c>
      <c r="E55" s="270" t="s">
        <v>377</v>
      </c>
      <c r="F55" s="264">
        <v>4207.73</v>
      </c>
      <c r="G55" s="307">
        <f t="shared" si="1"/>
        <v>-4207.73</v>
      </c>
    </row>
    <row r="56" spans="1:7" s="256" customFormat="1" ht="21">
      <c r="A56" s="262" t="s">
        <v>443</v>
      </c>
      <c r="B56" s="281">
        <v>42100015</v>
      </c>
      <c r="C56" s="264">
        <v>286000</v>
      </c>
      <c r="D56" s="264">
        <v>630213</v>
      </c>
      <c r="E56" s="333" t="s">
        <v>375</v>
      </c>
      <c r="F56" s="264">
        <v>344213</v>
      </c>
      <c r="G56" s="307">
        <f t="shared" si="1"/>
        <v>344213</v>
      </c>
    </row>
    <row r="57" spans="1:7" s="256" customFormat="1" ht="21">
      <c r="A57" s="316" t="s">
        <v>68</v>
      </c>
      <c r="B57" s="262"/>
      <c r="C57" s="334">
        <f>SUM(C43:C56)</f>
        <v>13597000</v>
      </c>
      <c r="D57" s="334">
        <f>SUM(D43:D56)</f>
        <v>15202338.799999997</v>
      </c>
      <c r="E57" s="335" t="s">
        <v>375</v>
      </c>
      <c r="F57" s="336">
        <f>+G57</f>
        <v>1605338.799999997</v>
      </c>
      <c r="G57" s="307">
        <f t="shared" si="1"/>
        <v>1605338.799999997</v>
      </c>
    </row>
    <row r="58" spans="1:7" s="256" customFormat="1" ht="21.75" thickBot="1">
      <c r="A58" s="337" t="s">
        <v>444</v>
      </c>
      <c r="B58" s="338"/>
      <c r="C58" s="317">
        <f>+C11+C32+C36+C40+C57</f>
        <v>14000000</v>
      </c>
      <c r="D58" s="317">
        <f>+D57+D40+D36+D32+D11</f>
        <v>15650994.879999995</v>
      </c>
      <c r="E58" s="318" t="s">
        <v>388</v>
      </c>
      <c r="F58" s="317">
        <v>1650994.88</v>
      </c>
      <c r="G58" s="307">
        <f t="shared" si="1"/>
        <v>1650994.8799999952</v>
      </c>
    </row>
    <row r="59" spans="1:7" s="256" customFormat="1" ht="21.75" thickTop="1">
      <c r="A59" s="273" t="s">
        <v>445</v>
      </c>
      <c r="B59" s="281">
        <v>43000000</v>
      </c>
      <c r="C59" s="262"/>
      <c r="D59" s="262"/>
      <c r="E59" s="281"/>
      <c r="F59" s="281"/>
      <c r="G59" s="307">
        <f t="shared" si="1"/>
        <v>0</v>
      </c>
    </row>
    <row r="60" spans="1:7" s="256" customFormat="1" ht="21">
      <c r="A60" s="273" t="s">
        <v>446</v>
      </c>
      <c r="B60" s="281">
        <v>43100000</v>
      </c>
      <c r="C60" s="262"/>
      <c r="D60" s="262"/>
      <c r="E60" s="270" t="s">
        <v>377</v>
      </c>
      <c r="F60" s="308">
        <v>0</v>
      </c>
      <c r="G60" s="307">
        <f t="shared" si="1"/>
        <v>0</v>
      </c>
    </row>
    <row r="61" spans="1:7" s="256" customFormat="1" ht="21">
      <c r="A61" s="262" t="s">
        <v>447</v>
      </c>
      <c r="B61" s="281">
        <v>43100001</v>
      </c>
      <c r="C61" s="262"/>
      <c r="D61" s="262"/>
      <c r="E61" s="270" t="s">
        <v>377</v>
      </c>
      <c r="F61" s="339">
        <v>0</v>
      </c>
      <c r="G61" s="307">
        <f t="shared" si="1"/>
        <v>0</v>
      </c>
    </row>
    <row r="62" spans="1:7" s="256" customFormat="1" ht="21">
      <c r="A62" s="262" t="s">
        <v>448</v>
      </c>
      <c r="B62" s="281">
        <v>43100002</v>
      </c>
      <c r="C62" s="264">
        <v>11500000</v>
      </c>
      <c r="D62" s="264">
        <v>10050915</v>
      </c>
      <c r="E62" s="270" t="s">
        <v>377</v>
      </c>
      <c r="F62" s="270">
        <v>1449085</v>
      </c>
      <c r="G62" s="307">
        <f t="shared" si="1"/>
        <v>-1449085</v>
      </c>
    </row>
    <row r="63" spans="1:7" s="256" customFormat="1" ht="21">
      <c r="A63" s="262" t="s">
        <v>449</v>
      </c>
      <c r="B63" s="262"/>
      <c r="C63" s="264"/>
      <c r="D63" s="264"/>
      <c r="E63" s="270"/>
      <c r="F63" s="308"/>
      <c r="G63" s="307">
        <f t="shared" si="1"/>
        <v>0</v>
      </c>
    </row>
    <row r="64" spans="1:7" s="256" customFormat="1" ht="21.75" thickBot="1">
      <c r="A64" s="316" t="s">
        <v>68</v>
      </c>
      <c r="B64" s="262"/>
      <c r="C64" s="317">
        <f>SUM(C62:C63)</f>
        <v>11500000</v>
      </c>
      <c r="D64" s="317">
        <f>SUM(D62:D63)</f>
        <v>10050915</v>
      </c>
      <c r="E64" s="318" t="s">
        <v>377</v>
      </c>
      <c r="F64" s="340">
        <f>+F62</f>
        <v>1449085</v>
      </c>
      <c r="G64" s="307">
        <f t="shared" si="1"/>
        <v>-1449085</v>
      </c>
    </row>
    <row r="65" spans="1:8" s="256" customFormat="1" ht="22.5" thickBot="1" thickTop="1">
      <c r="A65" s="337" t="s">
        <v>450</v>
      </c>
      <c r="B65" s="338"/>
      <c r="C65" s="317">
        <f>+C58+C64</f>
        <v>25500000</v>
      </c>
      <c r="D65" s="317">
        <f>+D58+D64</f>
        <v>25701909.879999995</v>
      </c>
      <c r="E65" s="318" t="s">
        <v>377</v>
      </c>
      <c r="F65" s="317">
        <v>201909.88</v>
      </c>
      <c r="G65" s="307">
        <f t="shared" si="1"/>
        <v>201909.87999999523</v>
      </c>
      <c r="H65" s="307"/>
    </row>
    <row r="66" spans="1:7" s="323" customFormat="1" ht="21.75" thickTop="1">
      <c r="A66" s="341"/>
      <c r="B66" s="274"/>
      <c r="C66" s="287"/>
      <c r="D66" s="287"/>
      <c r="E66" s="342"/>
      <c r="F66" s="343"/>
      <c r="G66" s="307">
        <f t="shared" si="1"/>
        <v>0</v>
      </c>
    </row>
    <row r="67" spans="1:7" s="323" customFormat="1" ht="21">
      <c r="A67" s="341"/>
      <c r="B67" s="274"/>
      <c r="C67" s="287"/>
      <c r="D67" s="287"/>
      <c r="E67" s="342"/>
      <c r="F67" s="343"/>
      <c r="G67" s="307"/>
    </row>
    <row r="68" spans="1:7" s="323" customFormat="1" ht="21">
      <c r="A68" s="341"/>
      <c r="B68" s="274"/>
      <c r="C68" s="287"/>
      <c r="D68" s="287"/>
      <c r="E68" s="342"/>
      <c r="F68" s="343"/>
      <c r="G68" s="307">
        <f t="shared" si="1"/>
        <v>0</v>
      </c>
    </row>
    <row r="69" spans="1:7" s="323" customFormat="1" ht="21">
      <c r="A69" s="341"/>
      <c r="B69" s="320" t="s">
        <v>451</v>
      </c>
      <c r="C69" s="287"/>
      <c r="D69" s="287"/>
      <c r="E69" s="344"/>
      <c r="F69" s="345"/>
      <c r="G69" s="307">
        <f t="shared" si="1"/>
        <v>0</v>
      </c>
    </row>
    <row r="70" spans="1:7" s="256" customFormat="1" ht="21">
      <c r="A70" s="569" t="s">
        <v>31</v>
      </c>
      <c r="B70" s="569" t="s">
        <v>305</v>
      </c>
      <c r="C70" s="571" t="s">
        <v>29</v>
      </c>
      <c r="D70" s="571" t="s">
        <v>414</v>
      </c>
      <c r="E70" s="325" t="s">
        <v>375</v>
      </c>
      <c r="F70" s="325" t="s">
        <v>376</v>
      </c>
      <c r="G70" s="307" t="e">
        <f t="shared" si="1"/>
        <v>#VALUE!</v>
      </c>
    </row>
    <row r="71" spans="1:7" s="256" customFormat="1" ht="21">
      <c r="A71" s="570"/>
      <c r="B71" s="570"/>
      <c r="C71" s="572"/>
      <c r="D71" s="572"/>
      <c r="E71" s="312" t="s">
        <v>377</v>
      </c>
      <c r="F71" s="312" t="s">
        <v>378</v>
      </c>
      <c r="G71" s="307">
        <f t="shared" si="1"/>
        <v>0</v>
      </c>
    </row>
    <row r="72" spans="1:7" s="256" customFormat="1" ht="21">
      <c r="A72" s="273" t="s">
        <v>452</v>
      </c>
      <c r="B72" s="281">
        <v>44100000</v>
      </c>
      <c r="C72" s="262"/>
      <c r="D72" s="262"/>
      <c r="E72" s="281"/>
      <c r="F72" s="346"/>
      <c r="G72" s="307">
        <f t="shared" si="1"/>
        <v>0</v>
      </c>
    </row>
    <row r="73" spans="1:7" s="256" customFormat="1" ht="21">
      <c r="A73" s="273" t="s">
        <v>453</v>
      </c>
      <c r="B73" s="281">
        <v>44100000</v>
      </c>
      <c r="C73" s="262"/>
      <c r="D73" s="262"/>
      <c r="E73" s="281"/>
      <c r="F73" s="346"/>
      <c r="G73" s="307">
        <f t="shared" si="1"/>
        <v>0</v>
      </c>
    </row>
    <row r="74" spans="1:7" s="256" customFormat="1" ht="21">
      <c r="A74" s="262" t="s">
        <v>454</v>
      </c>
      <c r="B74" s="281">
        <v>44100001</v>
      </c>
      <c r="C74" s="264">
        <v>0</v>
      </c>
      <c r="D74" s="264">
        <v>3646763.24</v>
      </c>
      <c r="E74" s="347" t="s">
        <v>383</v>
      </c>
      <c r="F74" s="270">
        <v>3646763.24</v>
      </c>
      <c r="G74" s="307">
        <f t="shared" si="1"/>
        <v>3646763.24</v>
      </c>
    </row>
    <row r="75" spans="1:7" s="256" customFormat="1" ht="21">
      <c r="A75" s="262" t="s">
        <v>455</v>
      </c>
      <c r="B75" s="281"/>
      <c r="C75" s="262"/>
      <c r="D75" s="262"/>
      <c r="E75" s="270"/>
      <c r="F75" s="308"/>
      <c r="G75" s="307">
        <f t="shared" si="1"/>
        <v>0</v>
      </c>
    </row>
    <row r="76" spans="1:7" s="256" customFormat="1" ht="21">
      <c r="A76" s="262" t="s">
        <v>456</v>
      </c>
      <c r="B76" s="281">
        <v>44100002</v>
      </c>
      <c r="C76" s="264">
        <v>0</v>
      </c>
      <c r="D76" s="262"/>
      <c r="E76" s="270" t="s">
        <v>377</v>
      </c>
      <c r="F76" s="308">
        <v>0</v>
      </c>
      <c r="G76" s="307">
        <f t="shared" si="1"/>
        <v>0</v>
      </c>
    </row>
    <row r="77" spans="1:7" s="256" customFormat="1" ht="21">
      <c r="A77" s="316" t="s">
        <v>68</v>
      </c>
      <c r="B77" s="273"/>
      <c r="C77" s="348">
        <f>SUM(C72:C76)</f>
        <v>0</v>
      </c>
      <c r="D77" s="348">
        <f>SUM(D72:D76)</f>
        <v>3646763.24</v>
      </c>
      <c r="E77" s="349" t="s">
        <v>383</v>
      </c>
      <c r="F77" s="348">
        <f>SUM(F72:F76)</f>
        <v>3646763.24</v>
      </c>
      <c r="G77" s="307">
        <f t="shared" si="1"/>
        <v>3646763.24</v>
      </c>
    </row>
    <row r="78" spans="1:7" s="256" customFormat="1" ht="21.75" thickBot="1">
      <c r="A78" s="337" t="s">
        <v>457</v>
      </c>
      <c r="B78" s="338"/>
      <c r="C78" s="309">
        <f>+C11+C32+C36+C40+C57+C64+C77</f>
        <v>25500000</v>
      </c>
      <c r="D78" s="309">
        <f>+D11+D32+D36+D40+D57+D64+D77</f>
        <v>29348673.119999997</v>
      </c>
      <c r="E78" s="350" t="s">
        <v>388</v>
      </c>
      <c r="F78" s="309">
        <f>+D78-C78</f>
        <v>3848673.1199999973</v>
      </c>
      <c r="G78" s="307">
        <f t="shared" si="1"/>
        <v>3848673.1199999973</v>
      </c>
    </row>
    <row r="79" spans="1:7" s="256" customFormat="1" ht="21.75" thickTop="1">
      <c r="A79" s="55"/>
      <c r="B79" s="55"/>
      <c r="C79" s="55"/>
      <c r="D79" s="55"/>
      <c r="E79" s="55"/>
      <c r="F79" s="55"/>
      <c r="G79" s="307">
        <f t="shared" si="1"/>
        <v>0</v>
      </c>
    </row>
    <row r="80" spans="1:7" s="256" customFormat="1" ht="21">
      <c r="A80" s="55"/>
      <c r="B80" s="55"/>
      <c r="C80" s="55"/>
      <c r="D80" s="55"/>
      <c r="E80" s="55"/>
      <c r="F80" s="268"/>
      <c r="G80" s="307">
        <f t="shared" si="1"/>
        <v>0</v>
      </c>
    </row>
    <row r="81" spans="1:7" s="256" customFormat="1" ht="21">
      <c r="A81" s="55"/>
      <c r="B81" s="55"/>
      <c r="C81" s="55"/>
      <c r="D81" s="55"/>
      <c r="E81" s="55"/>
      <c r="F81" s="55"/>
      <c r="G81" s="307">
        <f t="shared" si="1"/>
        <v>0</v>
      </c>
    </row>
    <row r="82" spans="1:7" s="256" customFormat="1" ht="21">
      <c r="A82" s="288" t="s">
        <v>338</v>
      </c>
      <c r="B82" s="558" t="s">
        <v>339</v>
      </c>
      <c r="C82" s="558"/>
      <c r="D82" s="558" t="s">
        <v>342</v>
      </c>
      <c r="E82" s="558"/>
      <c r="F82" s="558"/>
      <c r="G82" s="307" t="e">
        <f t="shared" si="1"/>
        <v>#VALUE!</v>
      </c>
    </row>
    <row r="83" spans="1:7" s="256" customFormat="1" ht="21">
      <c r="A83" s="288" t="s">
        <v>340</v>
      </c>
      <c r="B83" s="558" t="s">
        <v>372</v>
      </c>
      <c r="C83" s="558"/>
      <c r="D83" s="558" t="s">
        <v>343</v>
      </c>
      <c r="E83" s="558"/>
      <c r="F83" s="558"/>
      <c r="G83" s="307" t="e">
        <f t="shared" si="1"/>
        <v>#VALUE!</v>
      </c>
    </row>
    <row r="84" s="256" customFormat="1" ht="19.5"/>
    <row r="85" s="256" customFormat="1" ht="19.5"/>
    <row r="86" s="256" customFormat="1" ht="19.5"/>
    <row r="87" s="256" customFormat="1" ht="19.5"/>
    <row r="88" s="256" customFormat="1" ht="19.5"/>
    <row r="89" s="256" customFormat="1" ht="19.5"/>
    <row r="90" s="256" customFormat="1" ht="19.5"/>
    <row r="91" s="256" customFormat="1" ht="19.5"/>
    <row r="92" s="256" customFormat="1" ht="19.5"/>
    <row r="93" s="256" customFormat="1" ht="19.5"/>
    <row r="94" s="256" customFormat="1" ht="19.5"/>
    <row r="95" s="256" customFormat="1" ht="19.5"/>
    <row r="96" s="256" customFormat="1" ht="19.5"/>
    <row r="97" s="256" customFormat="1" ht="19.5"/>
    <row r="98" s="256" customFormat="1" ht="19.5"/>
    <row r="99" s="256" customFormat="1" ht="19.5"/>
    <row r="100" s="256" customFormat="1" ht="19.5"/>
    <row r="101" s="256" customFormat="1" ht="19.5"/>
    <row r="102" s="256" customFormat="1" ht="19.5"/>
  </sheetData>
  <sheetProtection/>
  <mergeCells count="23">
    <mergeCell ref="A1:F1"/>
    <mergeCell ref="A2:F2"/>
    <mergeCell ref="A3:F3"/>
    <mergeCell ref="A4:A5"/>
    <mergeCell ref="B4:B5"/>
    <mergeCell ref="C4:C5"/>
    <mergeCell ref="D4:D5"/>
    <mergeCell ref="A25:A26"/>
    <mergeCell ref="B25:B26"/>
    <mergeCell ref="C25:C26"/>
    <mergeCell ref="D25:D26"/>
    <mergeCell ref="A48:A49"/>
    <mergeCell ref="B48:B49"/>
    <mergeCell ref="C48:C49"/>
    <mergeCell ref="D48:D49"/>
    <mergeCell ref="B83:C83"/>
    <mergeCell ref="D83:F83"/>
    <mergeCell ref="A70:A71"/>
    <mergeCell ref="B70:B71"/>
    <mergeCell ref="C70:C71"/>
    <mergeCell ref="D70:D71"/>
    <mergeCell ref="B82:C82"/>
    <mergeCell ref="D82:F8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3">
      <selection activeCell="D32" sqref="D32"/>
    </sheetView>
  </sheetViews>
  <sheetFormatPr defaultColWidth="9.140625" defaultRowHeight="15"/>
  <cols>
    <col min="1" max="1" width="2.00390625" style="1" customWidth="1"/>
    <col min="2" max="2" width="3.28125" style="1" customWidth="1"/>
    <col min="3" max="3" width="60.140625" style="1" customWidth="1"/>
    <col min="4" max="4" width="12.7109375" style="1" customWidth="1"/>
    <col min="5" max="5" width="14.8515625" style="1" customWidth="1"/>
    <col min="6" max="16384" width="9.00390625" style="1" customWidth="1"/>
  </cols>
  <sheetData>
    <row r="1" spans="1:5" ht="19.5">
      <c r="A1" s="632" t="str">
        <f>+งบแสดงฐานะการเงิน!A1</f>
        <v>องค์การบริหารส่วนตำบลโพนทอง</v>
      </c>
      <c r="B1" s="632"/>
      <c r="C1" s="632"/>
      <c r="D1" s="632"/>
      <c r="E1" s="632"/>
    </row>
    <row r="2" spans="1:5" s="191" customFormat="1" ht="19.5">
      <c r="A2" s="634" t="s">
        <v>631</v>
      </c>
      <c r="B2" s="634"/>
      <c r="C2" s="634"/>
      <c r="D2" s="634"/>
      <c r="E2" s="634"/>
    </row>
    <row r="3" spans="1:5" s="191" customFormat="1" ht="19.5">
      <c r="A3" s="192"/>
      <c r="B3" s="196"/>
      <c r="C3" s="194"/>
      <c r="D3" s="190" t="s">
        <v>273</v>
      </c>
      <c r="E3" s="190" t="s">
        <v>267</v>
      </c>
    </row>
    <row r="4" spans="1:5" s="191" customFormat="1" ht="19.5">
      <c r="A4" s="192" t="s">
        <v>274</v>
      </c>
      <c r="B4" s="196"/>
      <c r="C4" s="194"/>
      <c r="D4" s="197"/>
      <c r="E4" s="195"/>
    </row>
    <row r="5" spans="1:5" s="191" customFormat="1" ht="19.5">
      <c r="A5" s="198"/>
      <c r="B5" s="202">
        <v>1</v>
      </c>
      <c r="C5" s="194" t="s">
        <v>637</v>
      </c>
      <c r="D5" s="203">
        <v>46000</v>
      </c>
      <c r="E5" s="401" t="s">
        <v>692</v>
      </c>
    </row>
    <row r="6" spans="1:5" s="191" customFormat="1" ht="19.5">
      <c r="A6" s="198"/>
      <c r="B6" s="202">
        <v>2</v>
      </c>
      <c r="C6" s="194" t="s">
        <v>638</v>
      </c>
      <c r="D6" s="204">
        <v>15000</v>
      </c>
      <c r="E6" s="401" t="s">
        <v>692</v>
      </c>
    </row>
    <row r="7" spans="1:5" s="191" customFormat="1" ht="20.25" customHeight="1">
      <c r="A7" s="198"/>
      <c r="B7" s="202">
        <v>3</v>
      </c>
      <c r="C7" s="194" t="s">
        <v>639</v>
      </c>
      <c r="D7" s="204">
        <v>275000</v>
      </c>
      <c r="E7" s="401" t="s">
        <v>692</v>
      </c>
    </row>
    <row r="8" spans="1:5" s="191" customFormat="1" ht="22.5" customHeight="1">
      <c r="A8" s="198"/>
      <c r="B8" s="202">
        <v>4</v>
      </c>
      <c r="C8" s="194" t="s">
        <v>640</v>
      </c>
      <c r="D8" s="204">
        <v>319000</v>
      </c>
      <c r="E8" s="401" t="s">
        <v>692</v>
      </c>
    </row>
    <row r="9" spans="1:5" s="191" customFormat="1" ht="19.5">
      <c r="A9" s="198"/>
      <c r="B9" s="202">
        <v>5</v>
      </c>
      <c r="C9" s="194" t="s">
        <v>641</v>
      </c>
      <c r="D9" s="204">
        <v>300000</v>
      </c>
      <c r="E9" s="401" t="s">
        <v>692</v>
      </c>
    </row>
    <row r="10" spans="1:5" s="191" customFormat="1" ht="21.75" customHeight="1">
      <c r="A10" s="198"/>
      <c r="B10" s="202">
        <v>6</v>
      </c>
      <c r="C10" s="194" t="s">
        <v>642</v>
      </c>
      <c r="D10" s="204">
        <v>346000</v>
      </c>
      <c r="E10" s="401" t="s">
        <v>692</v>
      </c>
    </row>
    <row r="11" spans="1:5" s="191" customFormat="1" ht="19.5">
      <c r="A11" s="198"/>
      <c r="B11" s="202">
        <v>7</v>
      </c>
      <c r="C11" s="194" t="s">
        <v>643</v>
      </c>
      <c r="D11" s="204">
        <v>198000</v>
      </c>
      <c r="E11" s="401" t="s">
        <v>692</v>
      </c>
    </row>
    <row r="12" spans="1:5" s="191" customFormat="1" ht="19.5">
      <c r="A12" s="198"/>
      <c r="B12" s="202">
        <v>8</v>
      </c>
      <c r="C12" s="194" t="s">
        <v>644</v>
      </c>
      <c r="D12" s="204">
        <v>103000</v>
      </c>
      <c r="E12" s="401" t="s">
        <v>692</v>
      </c>
    </row>
    <row r="13" spans="1:5" s="191" customFormat="1" ht="19.5" customHeight="1">
      <c r="A13" s="198"/>
      <c r="B13" s="202">
        <v>9</v>
      </c>
      <c r="C13" s="194" t="s">
        <v>645</v>
      </c>
      <c r="D13" s="204">
        <v>295000</v>
      </c>
      <c r="E13" s="401" t="s">
        <v>692</v>
      </c>
    </row>
    <row r="14" spans="1:5" s="191" customFormat="1" ht="19.5">
      <c r="A14" s="198"/>
      <c r="B14" s="202">
        <v>10</v>
      </c>
      <c r="C14" s="194" t="s">
        <v>646</v>
      </c>
      <c r="D14" s="204">
        <v>381000</v>
      </c>
      <c r="E14" s="401" t="s">
        <v>692</v>
      </c>
    </row>
    <row r="15" spans="1:5" s="191" customFormat="1" ht="19.5">
      <c r="A15" s="198"/>
      <c r="B15" s="202">
        <v>11</v>
      </c>
      <c r="C15" s="194" t="s">
        <v>647</v>
      </c>
      <c r="D15" s="204">
        <v>135000</v>
      </c>
      <c r="E15" s="401" t="s">
        <v>692</v>
      </c>
    </row>
    <row r="16" spans="1:5" s="191" customFormat="1" ht="19.5">
      <c r="A16" s="210"/>
      <c r="B16" s="202"/>
      <c r="C16" s="213" t="s">
        <v>68</v>
      </c>
      <c r="D16" s="402">
        <f>SUM(D5:D15)</f>
        <v>2413000</v>
      </c>
      <c r="E16" s="195"/>
    </row>
    <row r="17" spans="1:5" s="191" customFormat="1" ht="19.5">
      <c r="A17" s="210"/>
      <c r="B17" s="202"/>
      <c r="C17" s="219"/>
      <c r="D17" s="218"/>
      <c r="E17" s="195"/>
    </row>
    <row r="18" spans="1:5" s="191" customFormat="1" ht="19.5">
      <c r="A18" s="220"/>
      <c r="B18" s="202">
        <v>1</v>
      </c>
      <c r="C18" s="211" t="s">
        <v>697</v>
      </c>
      <c r="D18" s="218">
        <v>3546763.24</v>
      </c>
      <c r="E18" s="195" t="s">
        <v>696</v>
      </c>
    </row>
    <row r="19" spans="1:5" s="191" customFormat="1" ht="19.5">
      <c r="A19" s="220"/>
      <c r="B19" s="202">
        <v>2</v>
      </c>
      <c r="C19" s="221" t="s">
        <v>698</v>
      </c>
      <c r="D19" s="218">
        <v>100000</v>
      </c>
      <c r="E19" s="195" t="s">
        <v>696</v>
      </c>
    </row>
    <row r="20" spans="2:5" s="191" customFormat="1" ht="19.5">
      <c r="B20" s="202"/>
      <c r="C20" s="213" t="s">
        <v>68</v>
      </c>
      <c r="D20" s="402">
        <f>SUM(D18:D19)</f>
        <v>3646763.24</v>
      </c>
      <c r="E20" s="195"/>
    </row>
    <row r="21" spans="1:5" s="191" customFormat="1" ht="20.25" thickBot="1">
      <c r="A21" s="210"/>
      <c r="B21" s="222"/>
      <c r="C21" s="548" t="s">
        <v>73</v>
      </c>
      <c r="D21" s="549">
        <f>+D16+D20</f>
        <v>6059763.24</v>
      </c>
      <c r="E21" s="195"/>
    </row>
    <row r="22" ht="20.25" thickTop="1"/>
    <row r="24" spans="1:5" ht="19.5">
      <c r="A24" s="1" t="s">
        <v>708</v>
      </c>
      <c r="D24" s="635" t="s">
        <v>342</v>
      </c>
      <c r="E24" s="635"/>
    </row>
    <row r="25" spans="1:5" ht="19.5">
      <c r="A25" s="1" t="s">
        <v>709</v>
      </c>
      <c r="D25" s="635" t="s">
        <v>343</v>
      </c>
      <c r="E25" s="635"/>
    </row>
  </sheetData>
  <sheetProtection/>
  <mergeCells count="4">
    <mergeCell ref="A1:E1"/>
    <mergeCell ref="A2:E2"/>
    <mergeCell ref="D24:E24"/>
    <mergeCell ref="D25:E2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J30"/>
  <sheetViews>
    <sheetView zoomScaleSheetLayoutView="110" zoomScalePageLayoutView="0" workbookViewId="0" topLeftCell="A13">
      <selection activeCell="A29" sqref="A29:IV30"/>
    </sheetView>
  </sheetViews>
  <sheetFormatPr defaultColWidth="9.140625" defaultRowHeight="15"/>
  <cols>
    <col min="1" max="1" width="6.421875" style="3" customWidth="1"/>
    <col min="2" max="2" width="19.57421875" style="3" customWidth="1"/>
    <col min="3" max="3" width="5.421875" style="3" customWidth="1"/>
    <col min="4" max="5" width="6.140625" style="3" customWidth="1"/>
    <col min="6" max="6" width="6.28125" style="3" customWidth="1"/>
    <col min="7" max="7" width="7.8515625" style="3" customWidth="1"/>
    <col min="8" max="8" width="11.57421875" style="3" customWidth="1"/>
    <col min="9" max="9" width="11.7109375" style="3" customWidth="1"/>
    <col min="10" max="10" width="11.28125" style="3" customWidth="1"/>
    <col min="11" max="16384" width="9.00390625" style="3" customWidth="1"/>
  </cols>
  <sheetData>
    <row r="1" spans="1:10" ht="21">
      <c r="A1" s="632" t="str">
        <f>+งบแสดงฐานะการเงิน!A1</f>
        <v>องค์การบริหารส่วนตำบลโพนทอง</v>
      </c>
      <c r="B1" s="632"/>
      <c r="C1" s="632"/>
      <c r="D1" s="632"/>
      <c r="E1" s="632"/>
      <c r="F1" s="632"/>
      <c r="G1" s="632"/>
      <c r="H1" s="632"/>
      <c r="I1" s="632"/>
      <c r="J1" s="632"/>
    </row>
    <row r="2" spans="1:10" ht="21">
      <c r="A2" s="604" t="s">
        <v>287</v>
      </c>
      <c r="B2" s="604"/>
      <c r="C2" s="604"/>
      <c r="D2" s="604"/>
      <c r="E2" s="604"/>
      <c r="F2" s="604"/>
      <c r="G2" s="604"/>
      <c r="H2" s="604"/>
      <c r="I2" s="604"/>
      <c r="J2" s="604"/>
    </row>
    <row r="3" spans="1:10" ht="21">
      <c r="A3" s="604" t="s">
        <v>282</v>
      </c>
      <c r="B3" s="604"/>
      <c r="C3" s="604"/>
      <c r="D3" s="604"/>
      <c r="E3" s="604"/>
      <c r="F3" s="604"/>
      <c r="G3" s="604"/>
      <c r="H3" s="604"/>
      <c r="I3" s="604"/>
      <c r="J3" s="604"/>
    </row>
    <row r="4" spans="1:10" ht="21">
      <c r="A4" s="636" t="s">
        <v>283</v>
      </c>
      <c r="B4" s="636" t="s">
        <v>284</v>
      </c>
      <c r="C4" s="636" t="s">
        <v>285</v>
      </c>
      <c r="D4" s="603" t="s">
        <v>286</v>
      </c>
      <c r="E4" s="603"/>
      <c r="F4" s="603"/>
      <c r="G4" s="603"/>
      <c r="H4" s="603"/>
      <c r="I4" s="603"/>
      <c r="J4" s="603"/>
    </row>
    <row r="5" spans="1:10" ht="21">
      <c r="A5" s="637"/>
      <c r="B5" s="637"/>
      <c r="C5" s="637"/>
      <c r="D5" s="245">
        <v>2555</v>
      </c>
      <c r="E5" s="245">
        <v>2556</v>
      </c>
      <c r="F5" s="245">
        <v>2557</v>
      </c>
      <c r="G5" s="245">
        <v>2558</v>
      </c>
      <c r="H5" s="245">
        <v>2559</v>
      </c>
      <c r="I5" s="245">
        <v>2560</v>
      </c>
      <c r="J5" s="245">
        <v>2561</v>
      </c>
    </row>
    <row r="6" spans="1:10" ht="21">
      <c r="A6" s="396">
        <v>1</v>
      </c>
      <c r="B6" s="172" t="s">
        <v>649</v>
      </c>
      <c r="C6" s="396">
        <v>10</v>
      </c>
      <c r="D6" s="226"/>
      <c r="E6" s="226"/>
      <c r="F6" s="226"/>
      <c r="G6" s="226"/>
      <c r="H6" s="226"/>
      <c r="I6" s="226"/>
      <c r="J6" s="226">
        <v>56.4</v>
      </c>
    </row>
    <row r="7" spans="1:10" ht="21">
      <c r="A7" s="396">
        <v>2</v>
      </c>
      <c r="B7" s="172" t="s">
        <v>650</v>
      </c>
      <c r="C7" s="396">
        <v>10</v>
      </c>
      <c r="D7" s="226"/>
      <c r="E7" s="226"/>
      <c r="F7" s="226"/>
      <c r="G7" s="226"/>
      <c r="H7" s="226"/>
      <c r="I7" s="226"/>
      <c r="J7" s="226">
        <v>26.32</v>
      </c>
    </row>
    <row r="8" spans="1:10" ht="21">
      <c r="A8" s="396">
        <v>3</v>
      </c>
      <c r="B8" s="172" t="s">
        <v>651</v>
      </c>
      <c r="C8" s="396">
        <v>7</v>
      </c>
      <c r="D8" s="226"/>
      <c r="E8" s="226"/>
      <c r="F8" s="226"/>
      <c r="G8" s="226"/>
      <c r="H8" s="226"/>
      <c r="I8" s="226"/>
      <c r="J8" s="226">
        <v>374.12</v>
      </c>
    </row>
    <row r="9" spans="1:10" ht="21">
      <c r="A9" s="396"/>
      <c r="B9" s="172"/>
      <c r="C9" s="396"/>
      <c r="D9" s="226"/>
      <c r="E9" s="226"/>
      <c r="F9" s="226"/>
      <c r="G9" s="226"/>
      <c r="H9" s="226"/>
      <c r="I9" s="226"/>
      <c r="J9" s="226"/>
    </row>
    <row r="10" spans="1:10" ht="21">
      <c r="A10" s="396"/>
      <c r="B10" s="172"/>
      <c r="C10" s="396"/>
      <c r="D10" s="226"/>
      <c r="E10" s="226"/>
      <c r="F10" s="226"/>
      <c r="G10" s="226"/>
      <c r="H10" s="226"/>
      <c r="I10" s="226"/>
      <c r="J10" s="226"/>
    </row>
    <row r="11" spans="1:10" ht="21">
      <c r="A11" s="396"/>
      <c r="B11" s="172"/>
      <c r="C11" s="396"/>
      <c r="D11" s="226"/>
      <c r="E11" s="226"/>
      <c r="F11" s="226"/>
      <c r="G11" s="226"/>
      <c r="H11" s="226"/>
      <c r="I11" s="226"/>
      <c r="J11" s="226"/>
    </row>
    <row r="12" spans="1:10" ht="21">
      <c r="A12" s="396"/>
      <c r="B12" s="172"/>
      <c r="C12" s="396"/>
      <c r="D12" s="226"/>
      <c r="E12" s="226"/>
      <c r="F12" s="226"/>
      <c r="G12" s="226"/>
      <c r="H12" s="226"/>
      <c r="I12" s="226"/>
      <c r="J12" s="226"/>
    </row>
    <row r="13" spans="1:10" ht="21">
      <c r="A13" s="396"/>
      <c r="B13" s="172"/>
      <c r="C13" s="396"/>
      <c r="D13" s="226"/>
      <c r="E13" s="226"/>
      <c r="F13" s="226"/>
      <c r="G13" s="226"/>
      <c r="H13" s="226"/>
      <c r="I13" s="226"/>
      <c r="J13" s="226"/>
    </row>
    <row r="14" spans="1:10" ht="21">
      <c r="A14" s="396"/>
      <c r="B14" s="172"/>
      <c r="C14" s="396"/>
      <c r="D14" s="226"/>
      <c r="E14" s="226"/>
      <c r="F14" s="226"/>
      <c r="G14" s="226"/>
      <c r="H14" s="226"/>
      <c r="I14" s="226"/>
      <c r="J14" s="226"/>
    </row>
    <row r="15" spans="1:10" ht="21">
      <c r="A15" s="396"/>
      <c r="B15" s="172"/>
      <c r="C15" s="396"/>
      <c r="D15" s="226"/>
      <c r="E15" s="226"/>
      <c r="F15" s="226"/>
      <c r="G15" s="226"/>
      <c r="H15" s="226"/>
      <c r="I15" s="226"/>
      <c r="J15" s="226"/>
    </row>
    <row r="16" spans="1:10" ht="21">
      <c r="A16" s="396"/>
      <c r="B16" s="172"/>
      <c r="C16" s="396"/>
      <c r="D16" s="226"/>
      <c r="E16" s="226"/>
      <c r="F16" s="226"/>
      <c r="G16" s="226"/>
      <c r="H16" s="226"/>
      <c r="I16" s="226"/>
      <c r="J16" s="226"/>
    </row>
    <row r="17" spans="1:10" ht="21">
      <c r="A17" s="396"/>
      <c r="B17" s="172"/>
      <c r="C17" s="396"/>
      <c r="D17" s="226"/>
      <c r="E17" s="226"/>
      <c r="F17" s="226"/>
      <c r="G17" s="226"/>
      <c r="H17" s="226"/>
      <c r="I17" s="226"/>
      <c r="J17" s="226"/>
    </row>
    <row r="18" spans="1:10" ht="21">
      <c r="A18" s="396"/>
      <c r="B18" s="172"/>
      <c r="C18" s="396"/>
      <c r="D18" s="226"/>
      <c r="E18" s="226"/>
      <c r="F18" s="226"/>
      <c r="G18" s="226"/>
      <c r="H18" s="226"/>
      <c r="I18" s="226"/>
      <c r="J18" s="226"/>
    </row>
    <row r="19" spans="1:10" ht="21">
      <c r="A19" s="396"/>
      <c r="B19" s="172"/>
      <c r="C19" s="396"/>
      <c r="D19" s="226"/>
      <c r="E19" s="226"/>
      <c r="F19" s="226"/>
      <c r="G19" s="226"/>
      <c r="H19" s="226"/>
      <c r="I19" s="226"/>
      <c r="J19" s="226"/>
    </row>
    <row r="20" spans="1:10" ht="21">
      <c r="A20" s="396"/>
      <c r="B20" s="172"/>
      <c r="C20" s="396"/>
      <c r="D20" s="226"/>
      <c r="E20" s="226"/>
      <c r="F20" s="226"/>
      <c r="G20" s="226"/>
      <c r="H20" s="226"/>
      <c r="I20" s="226"/>
      <c r="J20" s="226"/>
    </row>
    <row r="21" spans="1:10" ht="21">
      <c r="A21" s="396"/>
      <c r="B21" s="172"/>
      <c r="C21" s="396"/>
      <c r="D21" s="226"/>
      <c r="E21" s="226"/>
      <c r="F21" s="226"/>
      <c r="G21" s="226"/>
      <c r="H21" s="226"/>
      <c r="I21" s="226"/>
      <c r="J21" s="226"/>
    </row>
    <row r="22" spans="1:10" ht="21">
      <c r="A22" s="396"/>
      <c r="B22" s="172"/>
      <c r="C22" s="396"/>
      <c r="D22" s="226"/>
      <c r="E22" s="226"/>
      <c r="F22" s="226"/>
      <c r="G22" s="226"/>
      <c r="H22" s="226"/>
      <c r="I22" s="226"/>
      <c r="J22" s="226"/>
    </row>
    <row r="23" spans="1:10" ht="21">
      <c r="A23" s="396"/>
      <c r="B23" s="172"/>
      <c r="C23" s="396"/>
      <c r="D23" s="226"/>
      <c r="E23" s="226"/>
      <c r="F23" s="226"/>
      <c r="G23" s="226"/>
      <c r="H23" s="226"/>
      <c r="I23" s="226"/>
      <c r="J23" s="226"/>
    </row>
    <row r="24" spans="1:10" ht="21">
      <c r="A24" s="396"/>
      <c r="B24" s="172"/>
      <c r="C24" s="396"/>
      <c r="D24" s="226"/>
      <c r="E24" s="226"/>
      <c r="F24" s="226"/>
      <c r="G24" s="226"/>
      <c r="H24" s="226"/>
      <c r="I24" s="226"/>
      <c r="J24" s="226"/>
    </row>
    <row r="25" spans="1:10" ht="21">
      <c r="A25" s="396"/>
      <c r="B25" s="172"/>
      <c r="C25" s="396"/>
      <c r="D25" s="226"/>
      <c r="E25" s="226"/>
      <c r="F25" s="226"/>
      <c r="G25" s="226"/>
      <c r="H25" s="226"/>
      <c r="I25" s="226"/>
      <c r="J25" s="226"/>
    </row>
    <row r="26" spans="1:10" ht="21">
      <c r="A26" s="605" t="s">
        <v>68</v>
      </c>
      <c r="B26" s="606"/>
      <c r="C26" s="606"/>
      <c r="D26" s="80">
        <f aca="true" t="shared" si="0" ref="D26:J26">SUM(D6:D25)</f>
        <v>0</v>
      </c>
      <c r="E26" s="80">
        <f t="shared" si="0"/>
        <v>0</v>
      </c>
      <c r="F26" s="80">
        <f t="shared" si="0"/>
        <v>0</v>
      </c>
      <c r="G26" s="80">
        <f t="shared" si="0"/>
        <v>0</v>
      </c>
      <c r="H26" s="80">
        <f t="shared" si="0"/>
        <v>0</v>
      </c>
      <c r="I26" s="80">
        <f t="shared" si="0"/>
        <v>0</v>
      </c>
      <c r="J26" s="80">
        <f t="shared" si="0"/>
        <v>456.84000000000003</v>
      </c>
    </row>
    <row r="29" spans="1:10" ht="21">
      <c r="A29" s="600" t="s">
        <v>338</v>
      </c>
      <c r="B29" s="600"/>
      <c r="D29" s="600" t="s">
        <v>339</v>
      </c>
      <c r="E29" s="600"/>
      <c r="F29" s="600"/>
      <c r="G29" s="600"/>
      <c r="H29" s="600" t="s">
        <v>342</v>
      </c>
      <c r="I29" s="600"/>
      <c r="J29" s="600"/>
    </row>
    <row r="30" spans="1:10" ht="21">
      <c r="A30" s="600" t="s">
        <v>340</v>
      </c>
      <c r="B30" s="600"/>
      <c r="D30" s="600" t="s">
        <v>372</v>
      </c>
      <c r="E30" s="600"/>
      <c r="F30" s="600"/>
      <c r="G30" s="600"/>
      <c r="H30" s="600" t="s">
        <v>343</v>
      </c>
      <c r="I30" s="600"/>
      <c r="J30" s="600"/>
    </row>
  </sheetData>
  <sheetProtection/>
  <mergeCells count="14">
    <mergeCell ref="A1:J1"/>
    <mergeCell ref="A26:C26"/>
    <mergeCell ref="D4:J4"/>
    <mergeCell ref="A2:J2"/>
    <mergeCell ref="A3:J3"/>
    <mergeCell ref="A4:A5"/>
    <mergeCell ref="B4:B5"/>
    <mergeCell ref="C4:C5"/>
    <mergeCell ref="A29:B29"/>
    <mergeCell ref="A30:B30"/>
    <mergeCell ref="D29:G29"/>
    <mergeCell ref="D30:G30"/>
    <mergeCell ref="H29:J29"/>
    <mergeCell ref="H30:J30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110" zoomScaleSheetLayoutView="110" zoomScalePageLayoutView="0" workbookViewId="0" topLeftCell="A10">
      <selection activeCell="A26" sqref="A26:IV27"/>
    </sheetView>
  </sheetViews>
  <sheetFormatPr defaultColWidth="9.140625" defaultRowHeight="15"/>
  <cols>
    <col min="1" max="1" width="6.00390625" style="3" customWidth="1"/>
    <col min="2" max="2" width="21.140625" style="3" customWidth="1"/>
    <col min="3" max="3" width="5.421875" style="3" customWidth="1"/>
    <col min="4" max="6" width="8.28125" style="3" customWidth="1"/>
    <col min="7" max="7" width="7.7109375" style="3" customWidth="1"/>
    <col min="8" max="9" width="8.28125" style="3" customWidth="1"/>
    <col min="10" max="10" width="11.00390625" style="3" customWidth="1"/>
    <col min="11" max="16384" width="9.00390625" style="3" customWidth="1"/>
  </cols>
  <sheetData>
    <row r="1" spans="1:10" ht="21">
      <c r="A1" s="632" t="str">
        <f>+งบแสดงฐานะการเงิน!A1</f>
        <v>องค์การบริหารส่วนตำบลโพนทอง</v>
      </c>
      <c r="B1" s="632"/>
      <c r="C1" s="632"/>
      <c r="D1" s="632"/>
      <c r="E1" s="632"/>
      <c r="F1" s="632"/>
      <c r="G1" s="632"/>
      <c r="H1" s="632"/>
      <c r="I1" s="632"/>
      <c r="J1" s="632"/>
    </row>
    <row r="2" spans="1:10" ht="21">
      <c r="A2" s="604" t="s">
        <v>288</v>
      </c>
      <c r="B2" s="604"/>
      <c r="C2" s="604"/>
      <c r="D2" s="604"/>
      <c r="E2" s="604"/>
      <c r="F2" s="604"/>
      <c r="G2" s="604"/>
      <c r="H2" s="604"/>
      <c r="I2" s="604"/>
      <c r="J2" s="604"/>
    </row>
    <row r="3" spans="1:10" ht="21">
      <c r="A3" s="604" t="s">
        <v>282</v>
      </c>
      <c r="B3" s="604"/>
      <c r="C3" s="604"/>
      <c r="D3" s="604"/>
      <c r="E3" s="604"/>
      <c r="F3" s="604"/>
      <c r="G3" s="604"/>
      <c r="H3" s="604"/>
      <c r="I3" s="604"/>
      <c r="J3" s="604"/>
    </row>
    <row r="4" spans="1:10" ht="21">
      <c r="A4" s="638"/>
      <c r="B4" s="638"/>
      <c r="C4" s="638"/>
      <c r="D4" s="638"/>
      <c r="E4" s="638"/>
      <c r="F4" s="638"/>
      <c r="G4" s="638"/>
      <c r="H4" s="638"/>
      <c r="I4" s="638"/>
      <c r="J4" s="638"/>
    </row>
    <row r="5" spans="1:10" ht="21">
      <c r="A5" s="636" t="s">
        <v>283</v>
      </c>
      <c r="B5" s="636" t="s">
        <v>284</v>
      </c>
      <c r="C5" s="636" t="s">
        <v>285</v>
      </c>
      <c r="D5" s="603" t="s">
        <v>286</v>
      </c>
      <c r="E5" s="603"/>
      <c r="F5" s="603"/>
      <c r="G5" s="603"/>
      <c r="H5" s="603"/>
      <c r="I5" s="603"/>
      <c r="J5" s="603"/>
    </row>
    <row r="6" spans="1:10" ht="21">
      <c r="A6" s="637"/>
      <c r="B6" s="637"/>
      <c r="C6" s="637"/>
      <c r="D6" s="245">
        <v>2555</v>
      </c>
      <c r="E6" s="245">
        <v>2556</v>
      </c>
      <c r="F6" s="245">
        <v>2557</v>
      </c>
      <c r="G6" s="245">
        <v>2558</v>
      </c>
      <c r="H6" s="245">
        <v>2559</v>
      </c>
      <c r="I6" s="245">
        <v>2560</v>
      </c>
      <c r="J6" s="245">
        <v>2561</v>
      </c>
    </row>
    <row r="7" spans="1:10" ht="21">
      <c r="A7" s="396">
        <v>1</v>
      </c>
      <c r="B7" s="172" t="s">
        <v>648</v>
      </c>
      <c r="C7" s="396">
        <v>7</v>
      </c>
      <c r="D7" s="172"/>
      <c r="E7" s="172"/>
      <c r="F7" s="172"/>
      <c r="G7" s="172"/>
      <c r="H7" s="172"/>
      <c r="I7" s="172"/>
      <c r="J7" s="226">
        <v>8923</v>
      </c>
    </row>
    <row r="8" spans="1:10" ht="21">
      <c r="A8" s="396"/>
      <c r="B8" s="172"/>
      <c r="C8" s="172"/>
      <c r="D8" s="172"/>
      <c r="E8" s="172"/>
      <c r="F8" s="172"/>
      <c r="G8" s="172"/>
      <c r="H8" s="172"/>
      <c r="I8" s="172"/>
      <c r="J8" s="226"/>
    </row>
    <row r="9" spans="1:10" ht="21">
      <c r="A9" s="396"/>
      <c r="B9" s="172"/>
      <c r="C9" s="172"/>
      <c r="D9" s="172"/>
      <c r="E9" s="172"/>
      <c r="F9" s="172"/>
      <c r="G9" s="172"/>
      <c r="H9" s="172"/>
      <c r="I9" s="172"/>
      <c r="J9" s="226"/>
    </row>
    <row r="10" spans="1:10" ht="21">
      <c r="A10" s="396"/>
      <c r="B10" s="172"/>
      <c r="C10" s="172"/>
      <c r="D10" s="172"/>
      <c r="E10" s="172"/>
      <c r="F10" s="172"/>
      <c r="G10" s="172"/>
      <c r="H10" s="172"/>
      <c r="I10" s="172"/>
      <c r="J10" s="226"/>
    </row>
    <row r="11" spans="1:10" ht="21">
      <c r="A11" s="172"/>
      <c r="B11" s="172"/>
      <c r="C11" s="172"/>
      <c r="D11" s="172"/>
      <c r="E11" s="172"/>
      <c r="F11" s="172"/>
      <c r="G11" s="172"/>
      <c r="H11" s="172"/>
      <c r="I11" s="172"/>
      <c r="J11" s="226"/>
    </row>
    <row r="12" spans="1:10" ht="21">
      <c r="A12" s="172"/>
      <c r="B12" s="172"/>
      <c r="C12" s="172"/>
      <c r="D12" s="172"/>
      <c r="E12" s="172"/>
      <c r="F12" s="172"/>
      <c r="G12" s="172"/>
      <c r="H12" s="172"/>
      <c r="I12" s="172"/>
      <c r="J12" s="226"/>
    </row>
    <row r="13" spans="1:10" ht="21">
      <c r="A13" s="172"/>
      <c r="B13" s="172"/>
      <c r="C13" s="172"/>
      <c r="D13" s="172"/>
      <c r="E13" s="172"/>
      <c r="F13" s="172"/>
      <c r="G13" s="172"/>
      <c r="H13" s="172"/>
      <c r="I13" s="172"/>
      <c r="J13" s="226"/>
    </row>
    <row r="14" spans="1:10" ht="21">
      <c r="A14" s="172"/>
      <c r="B14" s="172"/>
      <c r="C14" s="172"/>
      <c r="D14" s="172"/>
      <c r="E14" s="172"/>
      <c r="F14" s="172"/>
      <c r="G14" s="172"/>
      <c r="H14" s="172"/>
      <c r="I14" s="172"/>
      <c r="J14" s="226"/>
    </row>
    <row r="15" spans="1:10" ht="21">
      <c r="A15" s="172"/>
      <c r="B15" s="172"/>
      <c r="C15" s="172"/>
      <c r="D15" s="172"/>
      <c r="E15" s="172"/>
      <c r="F15" s="172"/>
      <c r="G15" s="172"/>
      <c r="H15" s="172"/>
      <c r="I15" s="172"/>
      <c r="J15" s="226"/>
    </row>
    <row r="16" spans="1:10" ht="21">
      <c r="A16" s="172"/>
      <c r="B16" s="172"/>
      <c r="C16" s="172"/>
      <c r="D16" s="172"/>
      <c r="E16" s="172"/>
      <c r="F16" s="172"/>
      <c r="G16" s="172"/>
      <c r="H16" s="172"/>
      <c r="I16" s="172"/>
      <c r="J16" s="226"/>
    </row>
    <row r="17" spans="1:10" ht="21">
      <c r="A17" s="172"/>
      <c r="B17" s="172"/>
      <c r="C17" s="172"/>
      <c r="D17" s="172"/>
      <c r="E17" s="172"/>
      <c r="F17" s="172"/>
      <c r="G17" s="172"/>
      <c r="H17" s="172"/>
      <c r="I17" s="172"/>
      <c r="J17" s="226"/>
    </row>
    <row r="18" spans="1:10" ht="21">
      <c r="A18" s="172"/>
      <c r="B18" s="172"/>
      <c r="C18" s="172"/>
      <c r="D18" s="172"/>
      <c r="E18" s="172"/>
      <c r="F18" s="172"/>
      <c r="G18" s="172"/>
      <c r="H18" s="172"/>
      <c r="I18" s="172"/>
      <c r="J18" s="226"/>
    </row>
    <row r="19" spans="1:10" ht="21">
      <c r="A19" s="172"/>
      <c r="B19" s="172"/>
      <c r="C19" s="172"/>
      <c r="D19" s="172"/>
      <c r="E19" s="172"/>
      <c r="F19" s="172"/>
      <c r="G19" s="172"/>
      <c r="H19" s="172"/>
      <c r="I19" s="172"/>
      <c r="J19" s="226"/>
    </row>
    <row r="20" spans="1:10" ht="21">
      <c r="A20" s="172"/>
      <c r="B20" s="172"/>
      <c r="C20" s="172"/>
      <c r="D20" s="172"/>
      <c r="E20" s="172"/>
      <c r="F20" s="172"/>
      <c r="G20" s="172"/>
      <c r="H20" s="172"/>
      <c r="I20" s="172"/>
      <c r="J20" s="226"/>
    </row>
    <row r="21" spans="1:10" ht="21">
      <c r="A21" s="172"/>
      <c r="B21" s="172"/>
      <c r="C21" s="172"/>
      <c r="D21" s="172"/>
      <c r="E21" s="172"/>
      <c r="F21" s="172"/>
      <c r="G21" s="172"/>
      <c r="H21" s="172"/>
      <c r="I21" s="172"/>
      <c r="J21" s="226"/>
    </row>
    <row r="22" spans="1:10" ht="21">
      <c r="A22" s="172"/>
      <c r="B22" s="172"/>
      <c r="C22" s="172"/>
      <c r="D22" s="172"/>
      <c r="E22" s="172"/>
      <c r="F22" s="172"/>
      <c r="G22" s="172"/>
      <c r="H22" s="172"/>
      <c r="I22" s="172"/>
      <c r="J22" s="226"/>
    </row>
    <row r="23" spans="1:10" ht="21">
      <c r="A23" s="605" t="s">
        <v>68</v>
      </c>
      <c r="B23" s="606"/>
      <c r="C23" s="606"/>
      <c r="D23" s="621"/>
      <c r="E23" s="255"/>
      <c r="F23" s="255"/>
      <c r="G23" s="255"/>
      <c r="H23" s="255"/>
      <c r="I23" s="255"/>
      <c r="J23" s="80">
        <f>SUM(J7:J22)</f>
        <v>8923</v>
      </c>
    </row>
    <row r="26" spans="1:10" ht="21">
      <c r="A26" s="600" t="s">
        <v>338</v>
      </c>
      <c r="B26" s="600"/>
      <c r="D26" s="600" t="s">
        <v>339</v>
      </c>
      <c r="E26" s="600"/>
      <c r="F26" s="600"/>
      <c r="G26" s="600"/>
      <c r="H26" s="600" t="s">
        <v>342</v>
      </c>
      <c r="I26" s="600"/>
      <c r="J26" s="600"/>
    </row>
    <row r="27" spans="1:10" ht="21">
      <c r="A27" s="600" t="s">
        <v>340</v>
      </c>
      <c r="B27" s="600"/>
      <c r="D27" s="600" t="s">
        <v>372</v>
      </c>
      <c r="E27" s="600"/>
      <c r="F27" s="600"/>
      <c r="G27" s="600"/>
      <c r="H27" s="600" t="s">
        <v>343</v>
      </c>
      <c r="I27" s="600"/>
      <c r="J27" s="600"/>
    </row>
  </sheetData>
  <sheetProtection/>
  <mergeCells count="15">
    <mergeCell ref="A1:J1"/>
    <mergeCell ref="A23:D23"/>
    <mergeCell ref="A2:J2"/>
    <mergeCell ref="A3:J3"/>
    <mergeCell ref="A4:J4"/>
    <mergeCell ref="A5:A6"/>
    <mergeCell ref="B5:B6"/>
    <mergeCell ref="C5:C6"/>
    <mergeCell ref="D5:J5"/>
    <mergeCell ref="A26:B26"/>
    <mergeCell ref="D26:G26"/>
    <mergeCell ref="H26:J26"/>
    <mergeCell ref="A27:B27"/>
    <mergeCell ref="D27:G27"/>
    <mergeCell ref="H27:J2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="110" zoomScaleSheetLayoutView="110" zoomScalePageLayoutView="0" workbookViewId="0" topLeftCell="A22">
      <selection activeCell="A28" sqref="A28:IV29"/>
    </sheetView>
  </sheetViews>
  <sheetFormatPr defaultColWidth="9.140625" defaultRowHeight="15"/>
  <cols>
    <col min="1" max="1" width="6.00390625" style="3" customWidth="1"/>
    <col min="2" max="2" width="21.140625" style="3" customWidth="1"/>
    <col min="3" max="3" width="5.421875" style="3" customWidth="1"/>
    <col min="4" max="4" width="7.57421875" style="3" customWidth="1"/>
    <col min="5" max="5" width="6.8515625" style="3" customWidth="1"/>
    <col min="6" max="6" width="7.421875" style="3" customWidth="1"/>
    <col min="7" max="7" width="7.00390625" style="3" customWidth="1"/>
    <col min="8" max="8" width="7.57421875" style="3" customWidth="1"/>
    <col min="9" max="9" width="10.00390625" style="3" customWidth="1"/>
    <col min="10" max="10" width="11.28125" style="3" customWidth="1"/>
    <col min="11" max="16384" width="9.00390625" style="3" customWidth="1"/>
  </cols>
  <sheetData>
    <row r="1" spans="1:10" ht="21">
      <c r="A1" s="632" t="str">
        <f>+งบแสดงฐานะการเงิน!A1</f>
        <v>องค์การบริหารส่วนตำบลโพนทอง</v>
      </c>
      <c r="B1" s="632"/>
      <c r="C1" s="632"/>
      <c r="D1" s="632"/>
      <c r="E1" s="632"/>
      <c r="F1" s="632"/>
      <c r="G1" s="632"/>
      <c r="H1" s="632"/>
      <c r="I1" s="632"/>
      <c r="J1" s="632"/>
    </row>
    <row r="2" spans="1:10" ht="21">
      <c r="A2" s="604" t="s">
        <v>289</v>
      </c>
      <c r="B2" s="604"/>
      <c r="C2" s="604"/>
      <c r="D2" s="604"/>
      <c r="E2" s="604"/>
      <c r="F2" s="604"/>
      <c r="G2" s="604"/>
      <c r="H2" s="604"/>
      <c r="I2" s="604"/>
      <c r="J2" s="604"/>
    </row>
    <row r="3" spans="1:10" ht="21">
      <c r="A3" s="604" t="s">
        <v>282</v>
      </c>
      <c r="B3" s="604"/>
      <c r="C3" s="604"/>
      <c r="D3" s="604"/>
      <c r="E3" s="604"/>
      <c r="F3" s="604"/>
      <c r="G3" s="604"/>
      <c r="H3" s="604"/>
      <c r="I3" s="604"/>
      <c r="J3" s="604"/>
    </row>
    <row r="4" spans="1:10" ht="21">
      <c r="A4" s="638"/>
      <c r="B4" s="638"/>
      <c r="C4" s="638"/>
      <c r="D4" s="638"/>
      <c r="E4" s="638"/>
      <c r="F4" s="638"/>
      <c r="G4" s="638"/>
      <c r="H4" s="638"/>
      <c r="I4" s="638"/>
      <c r="J4" s="638"/>
    </row>
    <row r="5" spans="1:10" ht="21">
      <c r="A5" s="636" t="s">
        <v>283</v>
      </c>
      <c r="B5" s="636" t="s">
        <v>284</v>
      </c>
      <c r="C5" s="636" t="s">
        <v>285</v>
      </c>
      <c r="D5" s="603" t="s">
        <v>286</v>
      </c>
      <c r="E5" s="603"/>
      <c r="F5" s="603"/>
      <c r="G5" s="603"/>
      <c r="H5" s="603"/>
      <c r="I5" s="603"/>
      <c r="J5" s="603"/>
    </row>
    <row r="6" spans="1:10" ht="21">
      <c r="A6" s="637"/>
      <c r="B6" s="637"/>
      <c r="C6" s="637"/>
      <c r="D6" s="245">
        <v>2555</v>
      </c>
      <c r="E6" s="245">
        <v>2556</v>
      </c>
      <c r="F6" s="245">
        <v>2557</v>
      </c>
      <c r="G6" s="245">
        <v>2558</v>
      </c>
      <c r="H6" s="245">
        <v>2559</v>
      </c>
      <c r="I6" s="245">
        <v>2560</v>
      </c>
      <c r="J6" s="245">
        <v>2561</v>
      </c>
    </row>
    <row r="7" spans="1:10" ht="21">
      <c r="A7" s="396">
        <v>1</v>
      </c>
      <c r="B7" s="172" t="s">
        <v>648</v>
      </c>
      <c r="C7" s="396">
        <v>7</v>
      </c>
      <c r="D7" s="172"/>
      <c r="E7" s="172"/>
      <c r="F7" s="172"/>
      <c r="G7" s="172"/>
      <c r="H7" s="172"/>
      <c r="I7" s="226">
        <v>6575</v>
      </c>
      <c r="J7" s="226">
        <v>17136</v>
      </c>
    </row>
    <row r="8" spans="1:10" ht="21">
      <c r="A8" s="172"/>
      <c r="B8" s="172"/>
      <c r="C8" s="172"/>
      <c r="D8" s="172"/>
      <c r="E8" s="172"/>
      <c r="F8" s="172"/>
      <c r="G8" s="172"/>
      <c r="H8" s="172"/>
      <c r="I8" s="226"/>
      <c r="J8" s="172"/>
    </row>
    <row r="9" spans="1:10" ht="21">
      <c r="A9" s="172"/>
      <c r="B9" s="172"/>
      <c r="C9" s="172"/>
      <c r="D9" s="172"/>
      <c r="E9" s="172"/>
      <c r="F9" s="172"/>
      <c r="G9" s="172"/>
      <c r="H9" s="172"/>
      <c r="I9" s="226"/>
      <c r="J9" s="172"/>
    </row>
    <row r="10" spans="1:10" ht="21">
      <c r="A10" s="172"/>
      <c r="B10" s="172"/>
      <c r="C10" s="172"/>
      <c r="D10" s="172"/>
      <c r="E10" s="172"/>
      <c r="F10" s="172"/>
      <c r="G10" s="172"/>
      <c r="H10" s="172"/>
      <c r="I10" s="226"/>
      <c r="J10" s="172"/>
    </row>
    <row r="11" spans="1:10" ht="21">
      <c r="A11" s="172"/>
      <c r="B11" s="172"/>
      <c r="C11" s="172"/>
      <c r="D11" s="172"/>
      <c r="E11" s="172"/>
      <c r="F11" s="172"/>
      <c r="G11" s="172"/>
      <c r="H11" s="172"/>
      <c r="I11" s="226"/>
      <c r="J11" s="172"/>
    </row>
    <row r="12" spans="1:10" ht="21">
      <c r="A12" s="172"/>
      <c r="B12" s="172"/>
      <c r="C12" s="172"/>
      <c r="D12" s="172"/>
      <c r="E12" s="172"/>
      <c r="F12" s="172"/>
      <c r="G12" s="172"/>
      <c r="H12" s="172"/>
      <c r="I12" s="226"/>
      <c r="J12" s="172"/>
    </row>
    <row r="13" spans="1:10" ht="21">
      <c r="A13" s="172"/>
      <c r="B13" s="172"/>
      <c r="C13" s="172"/>
      <c r="D13" s="172"/>
      <c r="E13" s="172"/>
      <c r="F13" s="172"/>
      <c r="G13" s="172"/>
      <c r="H13" s="172"/>
      <c r="I13" s="226"/>
      <c r="J13" s="172"/>
    </row>
    <row r="14" spans="1:10" ht="21">
      <c r="A14" s="172"/>
      <c r="B14" s="172"/>
      <c r="C14" s="172"/>
      <c r="D14" s="172"/>
      <c r="E14" s="172"/>
      <c r="F14" s="172"/>
      <c r="G14" s="172"/>
      <c r="H14" s="172"/>
      <c r="I14" s="226"/>
      <c r="J14" s="172"/>
    </row>
    <row r="15" spans="1:10" ht="21">
      <c r="A15" s="172"/>
      <c r="B15" s="172"/>
      <c r="C15" s="172"/>
      <c r="D15" s="172"/>
      <c r="E15" s="172"/>
      <c r="F15" s="172"/>
      <c r="G15" s="172"/>
      <c r="H15" s="172"/>
      <c r="I15" s="226"/>
      <c r="J15" s="172"/>
    </row>
    <row r="16" spans="1:10" ht="21">
      <c r="A16" s="172"/>
      <c r="B16" s="172"/>
      <c r="C16" s="172"/>
      <c r="D16" s="172"/>
      <c r="E16" s="172"/>
      <c r="F16" s="172"/>
      <c r="G16" s="172"/>
      <c r="H16" s="172"/>
      <c r="I16" s="226"/>
      <c r="J16" s="172"/>
    </row>
    <row r="17" spans="1:10" ht="21">
      <c r="A17" s="172"/>
      <c r="B17" s="172"/>
      <c r="C17" s="172"/>
      <c r="D17" s="172"/>
      <c r="E17" s="172"/>
      <c r="F17" s="172"/>
      <c r="G17" s="172"/>
      <c r="H17" s="172"/>
      <c r="I17" s="226"/>
      <c r="J17" s="172"/>
    </row>
    <row r="18" spans="1:10" ht="21">
      <c r="A18" s="172"/>
      <c r="B18" s="172"/>
      <c r="C18" s="172"/>
      <c r="D18" s="172"/>
      <c r="E18" s="172"/>
      <c r="F18" s="172"/>
      <c r="G18" s="172"/>
      <c r="H18" s="172"/>
      <c r="I18" s="226"/>
      <c r="J18" s="172"/>
    </row>
    <row r="19" spans="1:10" ht="21">
      <c r="A19" s="172"/>
      <c r="B19" s="172"/>
      <c r="C19" s="172"/>
      <c r="D19" s="172"/>
      <c r="E19" s="172"/>
      <c r="F19" s="172"/>
      <c r="G19" s="172"/>
      <c r="H19" s="172"/>
      <c r="I19" s="226"/>
      <c r="J19" s="172"/>
    </row>
    <row r="20" spans="1:10" ht="21">
      <c r="A20" s="172"/>
      <c r="B20" s="172"/>
      <c r="C20" s="172"/>
      <c r="D20" s="172"/>
      <c r="E20" s="172"/>
      <c r="F20" s="172"/>
      <c r="G20" s="172"/>
      <c r="H20" s="172"/>
      <c r="I20" s="226"/>
      <c r="J20" s="172"/>
    </row>
    <row r="21" spans="1:10" ht="21">
      <c r="A21" s="172"/>
      <c r="B21" s="172"/>
      <c r="C21" s="172"/>
      <c r="D21" s="172"/>
      <c r="E21" s="172"/>
      <c r="F21" s="172"/>
      <c r="G21" s="172"/>
      <c r="H21" s="172"/>
      <c r="I21" s="226"/>
      <c r="J21" s="172"/>
    </row>
    <row r="22" spans="1:10" ht="21">
      <c r="A22" s="172"/>
      <c r="B22" s="172"/>
      <c r="C22" s="172"/>
      <c r="D22" s="172"/>
      <c r="E22" s="172"/>
      <c r="F22" s="172"/>
      <c r="G22" s="172"/>
      <c r="H22" s="172"/>
      <c r="I22" s="226"/>
      <c r="J22" s="172"/>
    </row>
    <row r="23" spans="1:10" ht="21">
      <c r="A23" s="172"/>
      <c r="B23" s="172"/>
      <c r="C23" s="172"/>
      <c r="D23" s="172"/>
      <c r="E23" s="172"/>
      <c r="F23" s="172"/>
      <c r="G23" s="172"/>
      <c r="H23" s="172"/>
      <c r="I23" s="226"/>
      <c r="J23" s="172"/>
    </row>
    <row r="24" spans="1:10" ht="21">
      <c r="A24" s="172"/>
      <c r="B24" s="172"/>
      <c r="C24" s="172"/>
      <c r="D24" s="172"/>
      <c r="E24" s="172"/>
      <c r="F24" s="172"/>
      <c r="G24" s="172"/>
      <c r="H24" s="172"/>
      <c r="I24" s="226"/>
      <c r="J24" s="172"/>
    </row>
    <row r="25" spans="1:10" ht="21">
      <c r="A25" s="605" t="s">
        <v>68</v>
      </c>
      <c r="B25" s="606"/>
      <c r="C25" s="606"/>
      <c r="D25" s="621"/>
      <c r="E25" s="80">
        <f aca="true" t="shared" si="0" ref="E25:J25">SUM(E7:E24)</f>
        <v>0</v>
      </c>
      <c r="F25" s="80">
        <f t="shared" si="0"/>
        <v>0</v>
      </c>
      <c r="G25" s="80">
        <f t="shared" si="0"/>
        <v>0</v>
      </c>
      <c r="H25" s="80">
        <f t="shared" si="0"/>
        <v>0</v>
      </c>
      <c r="I25" s="80">
        <f t="shared" si="0"/>
        <v>6575</v>
      </c>
      <c r="J25" s="80">
        <f t="shared" si="0"/>
        <v>17136</v>
      </c>
    </row>
    <row r="28" spans="1:10" ht="21">
      <c r="A28" s="600" t="s">
        <v>338</v>
      </c>
      <c r="B28" s="600"/>
      <c r="D28" s="600" t="s">
        <v>339</v>
      </c>
      <c r="E28" s="600"/>
      <c r="F28" s="600"/>
      <c r="G28" s="600"/>
      <c r="H28" s="600" t="s">
        <v>342</v>
      </c>
      <c r="I28" s="600"/>
      <c r="J28" s="600"/>
    </row>
    <row r="29" spans="1:10" ht="21">
      <c r="A29" s="600" t="s">
        <v>340</v>
      </c>
      <c r="B29" s="600"/>
      <c r="D29" s="600" t="s">
        <v>372</v>
      </c>
      <c r="E29" s="600"/>
      <c r="F29" s="600"/>
      <c r="G29" s="600"/>
      <c r="H29" s="600" t="s">
        <v>343</v>
      </c>
      <c r="I29" s="600"/>
      <c r="J29" s="600"/>
    </row>
  </sheetData>
  <sheetProtection/>
  <mergeCells count="15">
    <mergeCell ref="A1:J1"/>
    <mergeCell ref="A25:D25"/>
    <mergeCell ref="A2:J2"/>
    <mergeCell ref="A3:J3"/>
    <mergeCell ref="A4:J4"/>
    <mergeCell ref="A5:A6"/>
    <mergeCell ref="B5:B6"/>
    <mergeCell ref="C5:C6"/>
    <mergeCell ref="D5:J5"/>
    <mergeCell ref="A28:B28"/>
    <mergeCell ref="D28:G28"/>
    <mergeCell ref="H28:J28"/>
    <mergeCell ref="A29:B29"/>
    <mergeCell ref="D29:G29"/>
    <mergeCell ref="H29:J2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K86"/>
  <sheetViews>
    <sheetView view="pageBreakPreview" zoomScale="60" zoomScalePageLayoutView="0" workbookViewId="0" topLeftCell="A58">
      <selection activeCell="H40" sqref="H40"/>
    </sheetView>
  </sheetViews>
  <sheetFormatPr defaultColWidth="9.140625" defaultRowHeight="15"/>
  <cols>
    <col min="1" max="1" width="5.7109375" style="256" customWidth="1"/>
    <col min="2" max="2" width="14.28125" style="256" customWidth="1"/>
    <col min="3" max="3" width="13.421875" style="256" customWidth="1"/>
    <col min="4" max="4" width="12.00390625" style="256" customWidth="1"/>
    <col min="5" max="5" width="12.421875" style="256" customWidth="1"/>
    <col min="6" max="6" width="18.00390625" style="256" customWidth="1"/>
    <col min="7" max="7" width="10.421875" style="256" customWidth="1"/>
    <col min="8" max="8" width="11.28125" style="256" customWidth="1"/>
    <col min="9" max="9" width="12.7109375" style="256" customWidth="1"/>
    <col min="10" max="10" width="14.8515625" style="256" customWidth="1"/>
    <col min="11" max="11" width="10.00390625" style="256" customWidth="1"/>
    <col min="12" max="16384" width="9.00390625" style="256" customWidth="1"/>
  </cols>
  <sheetData>
    <row r="1" spans="1:11" ht="21">
      <c r="A1" s="604" t="str">
        <f>+งบแสดงฐานะการเงิน!A1</f>
        <v>องค์การบริหารส่วนตำบลโพนทอง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</row>
    <row r="2" spans="1:11" ht="21">
      <c r="A2" s="604" t="s">
        <v>290</v>
      </c>
      <c r="B2" s="604"/>
      <c r="C2" s="604"/>
      <c r="D2" s="604"/>
      <c r="E2" s="604"/>
      <c r="F2" s="604"/>
      <c r="G2" s="604"/>
      <c r="H2" s="604"/>
      <c r="I2" s="604"/>
      <c r="J2" s="604"/>
      <c r="K2" s="604"/>
    </row>
    <row r="3" spans="1:11" ht="21">
      <c r="A3" s="245" t="s">
        <v>291</v>
      </c>
      <c r="B3" s="245" t="s">
        <v>35</v>
      </c>
      <c r="C3" s="245" t="s">
        <v>297</v>
      </c>
      <c r="D3" s="245" t="s">
        <v>292</v>
      </c>
      <c r="E3" s="245" t="s">
        <v>293</v>
      </c>
      <c r="F3" s="245" t="s">
        <v>294</v>
      </c>
      <c r="G3" s="245" t="s">
        <v>295</v>
      </c>
      <c r="H3" s="245" t="s">
        <v>302</v>
      </c>
      <c r="I3" s="245" t="s">
        <v>37</v>
      </c>
      <c r="J3" s="245" t="s">
        <v>296</v>
      </c>
      <c r="K3" s="245" t="s">
        <v>76</v>
      </c>
    </row>
    <row r="4" spans="1:11" s="3" customFormat="1" ht="21">
      <c r="A4" s="246">
        <v>1</v>
      </c>
      <c r="B4" s="246" t="s">
        <v>299</v>
      </c>
      <c r="C4" s="246" t="s">
        <v>269</v>
      </c>
      <c r="D4" s="396" t="s">
        <v>671</v>
      </c>
      <c r="E4" s="459" t="s">
        <v>630</v>
      </c>
      <c r="F4" s="460" t="s">
        <v>672</v>
      </c>
      <c r="G4" s="246" t="s">
        <v>301</v>
      </c>
      <c r="H4" s="257" t="s">
        <v>673</v>
      </c>
      <c r="I4" s="394">
        <v>27900</v>
      </c>
      <c r="J4" s="246" t="s">
        <v>300</v>
      </c>
      <c r="K4" s="246" t="s">
        <v>26</v>
      </c>
    </row>
    <row r="5" spans="1:11" s="3" customFormat="1" ht="21">
      <c r="A5" s="396">
        <v>2</v>
      </c>
      <c r="B5" s="396" t="s">
        <v>299</v>
      </c>
      <c r="C5" s="396" t="s">
        <v>269</v>
      </c>
      <c r="D5" s="396" t="s">
        <v>674</v>
      </c>
      <c r="E5" s="459" t="s">
        <v>630</v>
      </c>
      <c r="F5" s="460" t="s">
        <v>672</v>
      </c>
      <c r="G5" s="396" t="s">
        <v>301</v>
      </c>
      <c r="H5" s="257" t="s">
        <v>673</v>
      </c>
      <c r="I5" s="394">
        <v>27900</v>
      </c>
      <c r="J5" s="396" t="s">
        <v>580</v>
      </c>
      <c r="K5" s="396" t="s">
        <v>26</v>
      </c>
    </row>
    <row r="6" spans="1:11" s="3" customFormat="1" ht="21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</row>
    <row r="7" spans="1:11" s="3" customFormat="1" ht="21">
      <c r="A7" s="172"/>
      <c r="B7" s="172"/>
      <c r="C7" s="172"/>
      <c r="D7" s="172"/>
      <c r="E7" s="172"/>
      <c r="F7" s="172"/>
      <c r="G7" s="172"/>
      <c r="H7" s="172"/>
      <c r="I7" s="172"/>
      <c r="J7" s="172"/>
      <c r="K7" s="172"/>
    </row>
    <row r="8" spans="1:11" s="3" customFormat="1" ht="21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172"/>
    </row>
    <row r="9" spans="1:11" s="3" customFormat="1" ht="21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</row>
    <row r="10" spans="1:11" s="3" customFormat="1" ht="21">
      <c r="A10" s="172"/>
      <c r="B10" s="172"/>
      <c r="C10" s="172"/>
      <c r="D10" s="172"/>
      <c r="E10" s="172"/>
      <c r="F10" s="172"/>
      <c r="G10" s="172"/>
      <c r="H10" s="172"/>
      <c r="I10" s="172"/>
      <c r="J10" s="172"/>
      <c r="K10" s="172"/>
    </row>
    <row r="11" spans="1:11" s="3" customFormat="1" ht="21">
      <c r="A11" s="172"/>
      <c r="B11" s="172"/>
      <c r="C11" s="172"/>
      <c r="D11" s="172"/>
      <c r="E11" s="172"/>
      <c r="F11" s="172"/>
      <c r="G11" s="172"/>
      <c r="H11" s="172"/>
      <c r="I11" s="172"/>
      <c r="J11" s="172"/>
      <c r="K11" s="172"/>
    </row>
    <row r="12" spans="1:11" s="3" customFormat="1" ht="21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172"/>
    </row>
    <row r="13" spans="1:11" s="3" customFormat="1" ht="21">
      <c r="A13" s="172"/>
      <c r="B13" s="172"/>
      <c r="C13" s="172"/>
      <c r="D13" s="172"/>
      <c r="E13" s="172"/>
      <c r="F13" s="172"/>
      <c r="G13" s="172"/>
      <c r="H13" s="172"/>
      <c r="I13" s="172"/>
      <c r="J13" s="172"/>
      <c r="K13" s="172"/>
    </row>
    <row r="14" spans="1:11" s="3" customFormat="1" ht="21">
      <c r="A14" s="172"/>
      <c r="B14" s="172"/>
      <c r="C14" s="172"/>
      <c r="D14" s="172"/>
      <c r="E14" s="172"/>
      <c r="F14" s="172"/>
      <c r="G14" s="172"/>
      <c r="H14" s="172"/>
      <c r="I14" s="172"/>
      <c r="J14" s="172"/>
      <c r="K14" s="172"/>
    </row>
    <row r="15" spans="1:11" s="3" customFormat="1" ht="21">
      <c r="A15" s="172"/>
      <c r="B15" s="172"/>
      <c r="C15" s="172"/>
      <c r="D15" s="172"/>
      <c r="E15" s="172"/>
      <c r="F15" s="172"/>
      <c r="G15" s="172"/>
      <c r="H15" s="172"/>
      <c r="I15" s="172"/>
      <c r="J15" s="172"/>
      <c r="K15" s="172"/>
    </row>
    <row r="16" spans="1:11" s="3" customFormat="1" ht="21">
      <c r="A16" s="172"/>
      <c r="B16" s="172"/>
      <c r="C16" s="172"/>
      <c r="D16" s="172"/>
      <c r="E16" s="172"/>
      <c r="F16" s="172"/>
      <c r="G16" s="172"/>
      <c r="H16" s="172"/>
      <c r="I16" s="172"/>
      <c r="J16" s="172"/>
      <c r="K16" s="172"/>
    </row>
    <row r="17" spans="1:11" s="3" customFormat="1" ht="21">
      <c r="A17" s="172"/>
      <c r="B17" s="172"/>
      <c r="C17" s="172"/>
      <c r="D17" s="172"/>
      <c r="E17" s="172"/>
      <c r="F17" s="172"/>
      <c r="G17" s="172"/>
      <c r="H17" s="172"/>
      <c r="I17" s="172"/>
      <c r="J17" s="172"/>
      <c r="K17" s="172"/>
    </row>
    <row r="18" spans="1:11" s="3" customFormat="1" ht="21">
      <c r="A18" s="172"/>
      <c r="B18" s="172"/>
      <c r="C18" s="172"/>
      <c r="D18" s="172"/>
      <c r="E18" s="172"/>
      <c r="F18" s="172"/>
      <c r="G18" s="172"/>
      <c r="H18" s="172"/>
      <c r="I18" s="172"/>
      <c r="J18" s="172"/>
      <c r="K18" s="172"/>
    </row>
    <row r="19" spans="1:11" s="3" customFormat="1" ht="21">
      <c r="A19" s="172"/>
      <c r="B19" s="172"/>
      <c r="C19" s="172"/>
      <c r="D19" s="172"/>
      <c r="E19" s="172"/>
      <c r="F19" s="172"/>
      <c r="G19" s="172"/>
      <c r="H19" s="172"/>
      <c r="I19" s="172"/>
      <c r="J19" s="172"/>
      <c r="K19" s="172"/>
    </row>
    <row r="20" spans="1:11" s="3" customFormat="1" ht="21">
      <c r="A20" s="172"/>
      <c r="B20" s="172"/>
      <c r="C20" s="172"/>
      <c r="D20" s="172"/>
      <c r="E20" s="172"/>
      <c r="F20" s="172"/>
      <c r="G20" s="172"/>
      <c r="H20" s="172"/>
      <c r="I20" s="172"/>
      <c r="J20" s="172"/>
      <c r="K20" s="172"/>
    </row>
    <row r="21" spans="1:11" s="3" customFormat="1" ht="21">
      <c r="A21" s="172"/>
      <c r="B21" s="172"/>
      <c r="C21" s="172"/>
      <c r="D21" s="172"/>
      <c r="E21" s="172"/>
      <c r="F21" s="172"/>
      <c r="G21" s="172"/>
      <c r="H21" s="172"/>
      <c r="I21" s="172"/>
      <c r="J21" s="172"/>
      <c r="K21" s="172"/>
    </row>
    <row r="22" spans="1:11" s="3" customFormat="1" ht="21.75" thickBot="1">
      <c r="A22" s="605" t="s">
        <v>298</v>
      </c>
      <c r="B22" s="606"/>
      <c r="C22" s="606"/>
      <c r="D22" s="606"/>
      <c r="E22" s="606"/>
      <c r="F22" s="606"/>
      <c r="G22" s="606"/>
      <c r="H22" s="606"/>
      <c r="I22" s="464">
        <f>SUM(I4:I21)</f>
        <v>55800</v>
      </c>
      <c r="J22" s="407"/>
      <c r="K22" s="292"/>
    </row>
    <row r="23" spans="1:11" s="3" customFormat="1" ht="21.75" thickTop="1">
      <c r="A23" s="406"/>
      <c r="B23" s="406"/>
      <c r="C23" s="406"/>
      <c r="D23" s="406"/>
      <c r="E23" s="406"/>
      <c r="F23" s="406"/>
      <c r="G23" s="406"/>
      <c r="H23" s="406"/>
      <c r="I23" s="461"/>
      <c r="J23" s="407"/>
      <c r="K23" s="292"/>
    </row>
    <row r="24" spans="1:11" s="292" customFormat="1" ht="21">
      <c r="A24" s="398"/>
      <c r="B24" s="398"/>
      <c r="C24" s="398"/>
      <c r="D24" s="398"/>
      <c r="E24" s="398"/>
      <c r="F24" s="398"/>
      <c r="G24" s="398"/>
      <c r="H24" s="398"/>
      <c r="I24" s="462"/>
      <c r="J24" s="408"/>
      <c r="K24" s="463"/>
    </row>
    <row r="25" spans="1:11" ht="21">
      <c r="A25" s="409" t="s">
        <v>291</v>
      </c>
      <c r="B25" s="409" t="s">
        <v>35</v>
      </c>
      <c r="C25" s="409" t="s">
        <v>297</v>
      </c>
      <c r="D25" s="409" t="s">
        <v>292</v>
      </c>
      <c r="E25" s="409" t="s">
        <v>293</v>
      </c>
      <c r="F25" s="409" t="s">
        <v>294</v>
      </c>
      <c r="G25" s="409" t="s">
        <v>295</v>
      </c>
      <c r="H25" s="409" t="s">
        <v>295</v>
      </c>
      <c r="I25" s="409" t="s">
        <v>37</v>
      </c>
      <c r="J25" s="409" t="s">
        <v>296</v>
      </c>
      <c r="K25" s="409" t="s">
        <v>76</v>
      </c>
    </row>
    <row r="26" spans="1:11" s="3" customFormat="1" ht="21">
      <c r="A26" s="396">
        <v>1</v>
      </c>
      <c r="B26" s="396" t="s">
        <v>299</v>
      </c>
      <c r="C26" s="459" t="s">
        <v>272</v>
      </c>
      <c r="D26" s="396" t="s">
        <v>675</v>
      </c>
      <c r="E26" s="459" t="s">
        <v>632</v>
      </c>
      <c r="F26" s="396" t="s">
        <v>676</v>
      </c>
      <c r="G26" s="396" t="s">
        <v>301</v>
      </c>
      <c r="H26" s="257" t="s">
        <v>677</v>
      </c>
      <c r="I26" s="394">
        <v>16000</v>
      </c>
      <c r="J26" s="396" t="s">
        <v>300</v>
      </c>
      <c r="K26" s="396" t="s">
        <v>26</v>
      </c>
    </row>
    <row r="27" spans="1:11" s="3" customFormat="1" ht="21">
      <c r="A27" s="172"/>
      <c r="B27" s="172"/>
      <c r="C27" s="172"/>
      <c r="D27" s="172"/>
      <c r="E27" s="172"/>
      <c r="F27" s="172"/>
      <c r="G27" s="172"/>
      <c r="H27" s="172"/>
      <c r="I27" s="172"/>
      <c r="J27" s="172"/>
      <c r="K27" s="172"/>
    </row>
    <row r="28" spans="1:11" s="3" customFormat="1" ht="21">
      <c r="A28" s="172"/>
      <c r="B28" s="172"/>
      <c r="C28" s="172"/>
      <c r="D28" s="172"/>
      <c r="E28" s="172"/>
      <c r="F28" s="172"/>
      <c r="G28" s="172"/>
      <c r="H28" s="172"/>
      <c r="I28" s="172"/>
      <c r="J28" s="172"/>
      <c r="K28" s="172"/>
    </row>
    <row r="29" spans="1:11" s="3" customFormat="1" ht="21">
      <c r="A29" s="172"/>
      <c r="B29" s="172"/>
      <c r="C29" s="172"/>
      <c r="D29" s="172"/>
      <c r="E29" s="172"/>
      <c r="F29" s="172"/>
      <c r="G29" s="172"/>
      <c r="H29" s="172"/>
      <c r="I29" s="172"/>
      <c r="J29" s="172"/>
      <c r="K29" s="172"/>
    </row>
    <row r="30" spans="1:11" s="3" customFormat="1" ht="21">
      <c r="A30" s="172"/>
      <c r="B30" s="172"/>
      <c r="C30" s="172"/>
      <c r="D30" s="172"/>
      <c r="E30" s="172"/>
      <c r="F30" s="172"/>
      <c r="G30" s="172"/>
      <c r="H30" s="172"/>
      <c r="I30" s="172"/>
      <c r="J30" s="172"/>
      <c r="K30" s="172"/>
    </row>
    <row r="31" spans="1:11" s="3" customFormat="1" ht="21">
      <c r="A31" s="172"/>
      <c r="B31" s="172"/>
      <c r="C31" s="172"/>
      <c r="D31" s="172"/>
      <c r="E31" s="172"/>
      <c r="F31" s="172"/>
      <c r="G31" s="172"/>
      <c r="H31" s="172"/>
      <c r="I31" s="172"/>
      <c r="J31" s="172"/>
      <c r="K31" s="172"/>
    </row>
    <row r="32" spans="1:11" s="3" customFormat="1" ht="21">
      <c r="A32" s="172"/>
      <c r="B32" s="172"/>
      <c r="C32" s="172"/>
      <c r="D32" s="172"/>
      <c r="E32" s="172"/>
      <c r="F32" s="172"/>
      <c r="G32" s="172"/>
      <c r="H32" s="172"/>
      <c r="I32" s="172"/>
      <c r="J32" s="172"/>
      <c r="K32" s="172"/>
    </row>
    <row r="33" spans="1:11" s="3" customFormat="1" ht="21">
      <c r="A33" s="172"/>
      <c r="B33" s="172"/>
      <c r="C33" s="172"/>
      <c r="D33" s="172"/>
      <c r="E33" s="172"/>
      <c r="F33" s="172"/>
      <c r="G33" s="172"/>
      <c r="H33" s="172"/>
      <c r="I33" s="172"/>
      <c r="J33" s="172"/>
      <c r="K33" s="172"/>
    </row>
    <row r="34" spans="1:11" s="3" customFormat="1" ht="21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72"/>
    </row>
    <row r="35" spans="1:11" s="3" customFormat="1" ht="21">
      <c r="A35" s="172"/>
      <c r="B35" s="172"/>
      <c r="C35" s="172"/>
      <c r="D35" s="172"/>
      <c r="E35" s="172"/>
      <c r="F35" s="172"/>
      <c r="G35" s="172"/>
      <c r="H35" s="172"/>
      <c r="I35" s="172"/>
      <c r="J35" s="172"/>
      <c r="K35" s="172"/>
    </row>
    <row r="36" spans="1:11" s="3" customFormat="1" ht="21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</row>
    <row r="37" spans="1:11" s="3" customFormat="1" ht="21">
      <c r="A37" s="172"/>
      <c r="B37" s="172"/>
      <c r="C37" s="172"/>
      <c r="D37" s="172"/>
      <c r="E37" s="172"/>
      <c r="F37" s="172"/>
      <c r="G37" s="172"/>
      <c r="H37" s="172"/>
      <c r="I37" s="172"/>
      <c r="J37" s="172"/>
      <c r="K37" s="172"/>
    </row>
    <row r="38" spans="1:11" s="3" customFormat="1" ht="21">
      <c r="A38" s="172"/>
      <c r="B38" s="172"/>
      <c r="C38" s="172"/>
      <c r="D38" s="172"/>
      <c r="E38" s="172"/>
      <c r="F38" s="172"/>
      <c r="G38" s="172"/>
      <c r="H38" s="172"/>
      <c r="I38" s="172"/>
      <c r="J38" s="172"/>
      <c r="K38" s="172"/>
    </row>
    <row r="39" spans="1:11" s="3" customFormat="1" ht="21">
      <c r="A39" s="172"/>
      <c r="B39" s="172"/>
      <c r="C39" s="172"/>
      <c r="D39" s="172"/>
      <c r="E39" s="172"/>
      <c r="F39" s="172"/>
      <c r="G39" s="172"/>
      <c r="H39" s="172"/>
      <c r="I39" s="172"/>
      <c r="J39" s="172"/>
      <c r="K39" s="172"/>
    </row>
    <row r="40" spans="1:11" s="3" customFormat="1" ht="21">
      <c r="A40" s="172"/>
      <c r="B40" s="172"/>
      <c r="C40" s="172"/>
      <c r="D40" s="172"/>
      <c r="E40" s="172"/>
      <c r="F40" s="172"/>
      <c r="G40" s="172"/>
      <c r="H40" s="172"/>
      <c r="I40" s="172"/>
      <c r="J40" s="172"/>
      <c r="K40" s="172"/>
    </row>
    <row r="41" spans="1:11" s="3" customFormat="1" ht="21">
      <c r="A41" s="172"/>
      <c r="B41" s="172"/>
      <c r="C41" s="172"/>
      <c r="D41" s="172"/>
      <c r="E41" s="172"/>
      <c r="F41" s="172"/>
      <c r="G41" s="172"/>
      <c r="H41" s="172"/>
      <c r="I41" s="172"/>
      <c r="J41" s="172"/>
      <c r="K41" s="172"/>
    </row>
    <row r="42" spans="1:11" s="3" customFormat="1" ht="21.75" thickBot="1">
      <c r="A42" s="605" t="s">
        <v>678</v>
      </c>
      <c r="B42" s="606"/>
      <c r="C42" s="606"/>
      <c r="D42" s="606"/>
      <c r="E42" s="606"/>
      <c r="F42" s="606"/>
      <c r="G42" s="606"/>
      <c r="H42" s="606"/>
      <c r="I42" s="464">
        <f>SUM(I24:I41)</f>
        <v>16000</v>
      </c>
      <c r="J42" s="407"/>
      <c r="K42" s="292"/>
    </row>
    <row r="43" ht="20.25" thickTop="1"/>
    <row r="45" spans="1:11" s="292" customFormat="1" ht="21">
      <c r="A45" s="398"/>
      <c r="B45" s="398"/>
      <c r="C45" s="398"/>
      <c r="D45" s="398"/>
      <c r="E45" s="398"/>
      <c r="F45" s="398"/>
      <c r="G45" s="398"/>
      <c r="H45" s="398"/>
      <c r="I45" s="462"/>
      <c r="J45" s="408"/>
      <c r="K45" s="463"/>
    </row>
    <row r="46" spans="1:11" ht="21">
      <c r="A46" s="409" t="s">
        <v>291</v>
      </c>
      <c r="B46" s="409" t="s">
        <v>35</v>
      </c>
      <c r="C46" s="409" t="s">
        <v>297</v>
      </c>
      <c r="D46" s="409" t="s">
        <v>292</v>
      </c>
      <c r="E46" s="409" t="s">
        <v>293</v>
      </c>
      <c r="F46" s="409" t="s">
        <v>294</v>
      </c>
      <c r="G46" s="409" t="s">
        <v>295</v>
      </c>
      <c r="H46" s="409" t="s">
        <v>295</v>
      </c>
      <c r="I46" s="409" t="s">
        <v>37</v>
      </c>
      <c r="J46" s="409" t="s">
        <v>296</v>
      </c>
      <c r="K46" s="409" t="s">
        <v>76</v>
      </c>
    </row>
    <row r="47" spans="1:11" s="3" customFormat="1" ht="21">
      <c r="A47" s="396">
        <v>1</v>
      </c>
      <c r="B47" s="396" t="s">
        <v>299</v>
      </c>
      <c r="C47" s="459" t="s">
        <v>633</v>
      </c>
      <c r="D47" s="396" t="s">
        <v>679</v>
      </c>
      <c r="E47" s="459" t="s">
        <v>680</v>
      </c>
      <c r="F47" s="396" t="s">
        <v>681</v>
      </c>
      <c r="G47" s="396" t="s">
        <v>301</v>
      </c>
      <c r="H47" s="257" t="s">
        <v>682</v>
      </c>
      <c r="I47" s="394">
        <v>8000</v>
      </c>
      <c r="J47" s="465" t="s">
        <v>588</v>
      </c>
      <c r="K47" s="396" t="s">
        <v>26</v>
      </c>
    </row>
    <row r="48" spans="1:11" s="3" customFormat="1" ht="21">
      <c r="A48" s="172"/>
      <c r="B48" s="172"/>
      <c r="C48" s="172"/>
      <c r="D48" s="172"/>
      <c r="E48" s="172"/>
      <c r="F48" s="172"/>
      <c r="G48" s="172"/>
      <c r="H48" s="172"/>
      <c r="I48" s="172"/>
      <c r="J48" s="172"/>
      <c r="K48" s="172"/>
    </row>
    <row r="49" spans="1:11" s="3" customFormat="1" ht="21">
      <c r="A49" s="172"/>
      <c r="B49" s="172"/>
      <c r="C49" s="172"/>
      <c r="D49" s="172"/>
      <c r="E49" s="172"/>
      <c r="F49" s="172"/>
      <c r="G49" s="172"/>
      <c r="H49" s="172"/>
      <c r="I49" s="172"/>
      <c r="J49" s="172"/>
      <c r="K49" s="172"/>
    </row>
    <row r="50" spans="1:11" s="3" customFormat="1" ht="21">
      <c r="A50" s="172"/>
      <c r="B50" s="172"/>
      <c r="C50" s="172"/>
      <c r="D50" s="172"/>
      <c r="E50" s="172"/>
      <c r="F50" s="172"/>
      <c r="G50" s="172"/>
      <c r="H50" s="172"/>
      <c r="I50" s="172"/>
      <c r="J50" s="172"/>
      <c r="K50" s="172"/>
    </row>
    <row r="51" spans="1:11" s="3" customFormat="1" ht="21">
      <c r="A51" s="172"/>
      <c r="B51" s="172"/>
      <c r="C51" s="172"/>
      <c r="D51" s="172"/>
      <c r="E51" s="172"/>
      <c r="F51" s="172"/>
      <c r="G51" s="172"/>
      <c r="H51" s="172"/>
      <c r="I51" s="172"/>
      <c r="J51" s="172"/>
      <c r="K51" s="172"/>
    </row>
    <row r="52" spans="1:11" s="3" customFormat="1" ht="21">
      <c r="A52" s="172"/>
      <c r="B52" s="172"/>
      <c r="C52" s="172"/>
      <c r="D52" s="172"/>
      <c r="E52" s="172"/>
      <c r="F52" s="172"/>
      <c r="G52" s="172"/>
      <c r="H52" s="172"/>
      <c r="I52" s="172"/>
      <c r="J52" s="172"/>
      <c r="K52" s="172"/>
    </row>
    <row r="53" spans="1:11" s="3" customFormat="1" ht="21">
      <c r="A53" s="172"/>
      <c r="B53" s="172"/>
      <c r="C53" s="172"/>
      <c r="D53" s="172"/>
      <c r="E53" s="172"/>
      <c r="F53" s="172"/>
      <c r="G53" s="172"/>
      <c r="H53" s="172"/>
      <c r="I53" s="172"/>
      <c r="J53" s="172"/>
      <c r="K53" s="172"/>
    </row>
    <row r="54" spans="1:11" s="3" customFormat="1" ht="21">
      <c r="A54" s="172"/>
      <c r="B54" s="172"/>
      <c r="C54" s="172"/>
      <c r="D54" s="172"/>
      <c r="E54" s="172"/>
      <c r="F54" s="172"/>
      <c r="G54" s="172"/>
      <c r="H54" s="172"/>
      <c r="I54" s="172"/>
      <c r="J54" s="172"/>
      <c r="K54" s="172"/>
    </row>
    <row r="55" spans="1:11" s="3" customFormat="1" ht="21">
      <c r="A55" s="172"/>
      <c r="B55" s="172"/>
      <c r="C55" s="172"/>
      <c r="D55" s="172"/>
      <c r="E55" s="172"/>
      <c r="F55" s="172"/>
      <c r="G55" s="172"/>
      <c r="H55" s="172"/>
      <c r="I55" s="172"/>
      <c r="J55" s="172"/>
      <c r="K55" s="172"/>
    </row>
    <row r="56" spans="1:11" s="3" customFormat="1" ht="21">
      <c r="A56" s="172"/>
      <c r="B56" s="172"/>
      <c r="C56" s="172"/>
      <c r="D56" s="172"/>
      <c r="E56" s="172"/>
      <c r="F56" s="172"/>
      <c r="G56" s="172"/>
      <c r="H56" s="172"/>
      <c r="I56" s="172"/>
      <c r="J56" s="172"/>
      <c r="K56" s="172"/>
    </row>
    <row r="57" spans="1:11" s="3" customFormat="1" ht="21">
      <c r="A57" s="172"/>
      <c r="B57" s="172"/>
      <c r="C57" s="172"/>
      <c r="D57" s="172"/>
      <c r="E57" s="172"/>
      <c r="F57" s="172"/>
      <c r="G57" s="172"/>
      <c r="H57" s="172"/>
      <c r="I57" s="172"/>
      <c r="J57" s="172"/>
      <c r="K57" s="172"/>
    </row>
    <row r="58" spans="1:11" s="3" customFormat="1" ht="21">
      <c r="A58" s="172"/>
      <c r="B58" s="172"/>
      <c r="C58" s="172"/>
      <c r="D58" s="172"/>
      <c r="E58" s="172"/>
      <c r="F58" s="172"/>
      <c r="G58" s="172"/>
      <c r="H58" s="172"/>
      <c r="I58" s="172"/>
      <c r="J58" s="172"/>
      <c r="K58" s="172"/>
    </row>
    <row r="59" spans="1:11" s="3" customFormat="1" ht="21">
      <c r="A59" s="172"/>
      <c r="B59" s="172"/>
      <c r="C59" s="172"/>
      <c r="D59" s="172"/>
      <c r="E59" s="172"/>
      <c r="F59" s="172"/>
      <c r="G59" s="172"/>
      <c r="H59" s="172"/>
      <c r="I59" s="172"/>
      <c r="J59" s="172"/>
      <c r="K59" s="172"/>
    </row>
    <row r="60" spans="1:11" s="3" customFormat="1" ht="21">
      <c r="A60" s="172"/>
      <c r="B60" s="172"/>
      <c r="C60" s="172"/>
      <c r="D60" s="172"/>
      <c r="E60" s="172"/>
      <c r="F60" s="172"/>
      <c r="G60" s="172"/>
      <c r="H60" s="172"/>
      <c r="I60" s="172"/>
      <c r="J60" s="172"/>
      <c r="K60" s="172"/>
    </row>
    <row r="61" spans="1:11" s="3" customFormat="1" ht="21">
      <c r="A61" s="172"/>
      <c r="B61" s="172"/>
      <c r="C61" s="172"/>
      <c r="D61" s="172"/>
      <c r="E61" s="172"/>
      <c r="F61" s="172"/>
      <c r="G61" s="172"/>
      <c r="H61" s="172"/>
      <c r="I61" s="172"/>
      <c r="J61" s="172"/>
      <c r="K61" s="172"/>
    </row>
    <row r="62" spans="1:11" s="3" customFormat="1" ht="21">
      <c r="A62" s="172"/>
      <c r="B62" s="172"/>
      <c r="C62" s="172"/>
      <c r="D62" s="172"/>
      <c r="E62" s="172"/>
      <c r="F62" s="172"/>
      <c r="G62" s="172"/>
      <c r="H62" s="172"/>
      <c r="I62" s="172"/>
      <c r="J62" s="172"/>
      <c r="K62" s="172"/>
    </row>
    <row r="63" spans="1:11" s="3" customFormat="1" ht="21.75" thickBot="1">
      <c r="A63" s="605" t="s">
        <v>683</v>
      </c>
      <c r="B63" s="606"/>
      <c r="C63" s="606"/>
      <c r="D63" s="606"/>
      <c r="E63" s="606"/>
      <c r="F63" s="606"/>
      <c r="G63" s="606"/>
      <c r="H63" s="606"/>
      <c r="I63" s="464">
        <f>SUM(I45:I62)</f>
        <v>8000</v>
      </c>
      <c r="J63" s="407"/>
      <c r="K63" s="292"/>
    </row>
    <row r="64" ht="20.25" thickTop="1"/>
    <row r="66" spans="1:11" s="292" customFormat="1" ht="21">
      <c r="A66" s="398"/>
      <c r="B66" s="398"/>
      <c r="C66" s="398"/>
      <c r="D66" s="398"/>
      <c r="E66" s="398"/>
      <c r="F66" s="398"/>
      <c r="G66" s="398"/>
      <c r="H66" s="398"/>
      <c r="I66" s="462"/>
      <c r="J66" s="408"/>
      <c r="K66" s="463"/>
    </row>
    <row r="67" spans="1:11" ht="21">
      <c r="A67" s="409" t="s">
        <v>291</v>
      </c>
      <c r="B67" s="409" t="s">
        <v>35</v>
      </c>
      <c r="C67" s="409" t="s">
        <v>297</v>
      </c>
      <c r="D67" s="409" t="s">
        <v>292</v>
      </c>
      <c r="E67" s="409" t="s">
        <v>293</v>
      </c>
      <c r="F67" s="409" t="s">
        <v>294</v>
      </c>
      <c r="G67" s="409" t="s">
        <v>295</v>
      </c>
      <c r="H67" s="409" t="s">
        <v>295</v>
      </c>
      <c r="I67" s="409" t="s">
        <v>37</v>
      </c>
      <c r="J67" s="409" t="s">
        <v>296</v>
      </c>
      <c r="K67" s="409" t="s">
        <v>76</v>
      </c>
    </row>
    <row r="68" spans="1:11" s="3" customFormat="1" ht="21">
      <c r="A68" s="396">
        <v>1</v>
      </c>
      <c r="B68" s="396" t="s">
        <v>299</v>
      </c>
      <c r="C68" s="459" t="s">
        <v>684</v>
      </c>
      <c r="D68" s="396" t="s">
        <v>685</v>
      </c>
      <c r="E68" s="459" t="s">
        <v>686</v>
      </c>
      <c r="F68" s="396" t="s">
        <v>636</v>
      </c>
      <c r="G68" s="396" t="s">
        <v>301</v>
      </c>
      <c r="H68" s="257" t="s">
        <v>687</v>
      </c>
      <c r="I68" s="394">
        <v>6000</v>
      </c>
      <c r="J68" s="466" t="s">
        <v>689</v>
      </c>
      <c r="K68" s="396" t="s">
        <v>26</v>
      </c>
    </row>
    <row r="69" spans="1:11" s="3" customFormat="1" ht="21">
      <c r="A69" s="172"/>
      <c r="B69" s="172"/>
      <c r="C69" s="172"/>
      <c r="D69" s="172"/>
      <c r="E69" s="172"/>
      <c r="F69" s="172"/>
      <c r="G69" s="172"/>
      <c r="H69" s="172"/>
      <c r="I69" s="172"/>
      <c r="J69" s="467" t="s">
        <v>688</v>
      </c>
      <c r="K69" s="172"/>
    </row>
    <row r="70" spans="1:11" s="3" customFormat="1" ht="21">
      <c r="A70" s="172"/>
      <c r="B70" s="172"/>
      <c r="C70" s="172"/>
      <c r="D70" s="172"/>
      <c r="E70" s="172"/>
      <c r="F70" s="172"/>
      <c r="G70" s="172"/>
      <c r="H70" s="172"/>
      <c r="I70" s="172"/>
      <c r="J70" s="172"/>
      <c r="K70" s="172"/>
    </row>
    <row r="71" spans="1:11" s="3" customFormat="1" ht="21">
      <c r="A71" s="172"/>
      <c r="B71" s="172"/>
      <c r="C71" s="172"/>
      <c r="D71" s="172"/>
      <c r="E71" s="172"/>
      <c r="F71" s="172"/>
      <c r="G71" s="172"/>
      <c r="H71" s="172"/>
      <c r="I71" s="172"/>
      <c r="J71" s="172"/>
      <c r="K71" s="172"/>
    </row>
    <row r="72" spans="1:11" s="3" customFormat="1" ht="21">
      <c r="A72" s="172"/>
      <c r="B72" s="172"/>
      <c r="C72" s="172"/>
      <c r="D72" s="172"/>
      <c r="E72" s="172"/>
      <c r="F72" s="172"/>
      <c r="G72" s="172"/>
      <c r="H72" s="172"/>
      <c r="I72" s="172"/>
      <c r="J72" s="172"/>
      <c r="K72" s="172"/>
    </row>
    <row r="73" spans="1:11" s="3" customFormat="1" ht="21">
      <c r="A73" s="172"/>
      <c r="B73" s="172"/>
      <c r="C73" s="172"/>
      <c r="D73" s="172"/>
      <c r="E73" s="172"/>
      <c r="F73" s="172"/>
      <c r="G73" s="172"/>
      <c r="H73" s="172"/>
      <c r="I73" s="172"/>
      <c r="J73" s="172"/>
      <c r="K73" s="172"/>
    </row>
    <row r="74" spans="1:11" s="3" customFormat="1" ht="21">
      <c r="A74" s="172"/>
      <c r="B74" s="172"/>
      <c r="C74" s="172"/>
      <c r="D74" s="172"/>
      <c r="E74" s="172"/>
      <c r="F74" s="172"/>
      <c r="G74" s="172"/>
      <c r="H74" s="172"/>
      <c r="I74" s="172"/>
      <c r="J74" s="172"/>
      <c r="K74" s="172"/>
    </row>
    <row r="75" spans="1:11" s="3" customFormat="1" ht="21">
      <c r="A75" s="172"/>
      <c r="B75" s="172"/>
      <c r="C75" s="172"/>
      <c r="D75" s="172"/>
      <c r="E75" s="172"/>
      <c r="F75" s="172"/>
      <c r="G75" s="172"/>
      <c r="H75" s="172"/>
      <c r="I75" s="172"/>
      <c r="J75" s="172"/>
      <c r="K75" s="172"/>
    </row>
    <row r="76" spans="1:11" s="3" customFormat="1" ht="21">
      <c r="A76" s="172"/>
      <c r="B76" s="172"/>
      <c r="C76" s="172"/>
      <c r="D76" s="172"/>
      <c r="E76" s="172"/>
      <c r="F76" s="172"/>
      <c r="G76" s="172"/>
      <c r="H76" s="172"/>
      <c r="I76" s="172"/>
      <c r="J76" s="172"/>
      <c r="K76" s="172"/>
    </row>
    <row r="77" spans="1:11" s="3" customFormat="1" ht="21">
      <c r="A77" s="172"/>
      <c r="B77" s="172"/>
      <c r="C77" s="172"/>
      <c r="D77" s="172"/>
      <c r="E77" s="172"/>
      <c r="F77" s="172"/>
      <c r="G77" s="172"/>
      <c r="H77" s="172"/>
      <c r="I77" s="172"/>
      <c r="J77" s="172"/>
      <c r="K77" s="172"/>
    </row>
    <row r="78" spans="1:11" s="3" customFormat="1" ht="21">
      <c r="A78" s="172"/>
      <c r="B78" s="172"/>
      <c r="C78" s="172"/>
      <c r="D78" s="172"/>
      <c r="E78" s="172"/>
      <c r="F78" s="172"/>
      <c r="G78" s="172"/>
      <c r="H78" s="172"/>
      <c r="I78" s="172"/>
      <c r="J78" s="172"/>
      <c r="K78" s="172"/>
    </row>
    <row r="79" spans="1:11" s="3" customFormat="1" ht="21">
      <c r="A79" s="172"/>
      <c r="B79" s="172"/>
      <c r="C79" s="172"/>
      <c r="D79" s="172"/>
      <c r="E79" s="172"/>
      <c r="F79" s="172"/>
      <c r="G79" s="172"/>
      <c r="H79" s="172"/>
      <c r="I79" s="172"/>
      <c r="J79" s="172"/>
      <c r="K79" s="172"/>
    </row>
    <row r="80" spans="1:11" s="3" customFormat="1" ht="21">
      <c r="A80" s="172"/>
      <c r="B80" s="172"/>
      <c r="C80" s="172"/>
      <c r="D80" s="172"/>
      <c r="E80" s="172"/>
      <c r="F80" s="172"/>
      <c r="G80" s="172"/>
      <c r="H80" s="172"/>
      <c r="I80" s="172"/>
      <c r="J80" s="172"/>
      <c r="K80" s="172"/>
    </row>
    <row r="81" spans="1:11" s="3" customFormat="1" ht="21">
      <c r="A81" s="172"/>
      <c r="B81" s="172"/>
      <c r="C81" s="172"/>
      <c r="D81" s="172"/>
      <c r="E81" s="172"/>
      <c r="F81" s="172"/>
      <c r="G81" s="172"/>
      <c r="H81" s="172"/>
      <c r="I81" s="172"/>
      <c r="J81" s="172"/>
      <c r="K81" s="172"/>
    </row>
    <row r="82" spans="1:11" s="3" customFormat="1" ht="21.75" thickBot="1">
      <c r="A82" s="605" t="s">
        <v>690</v>
      </c>
      <c r="B82" s="606"/>
      <c r="C82" s="606"/>
      <c r="D82" s="606"/>
      <c r="E82" s="606"/>
      <c r="F82" s="606"/>
      <c r="G82" s="606"/>
      <c r="H82" s="606"/>
      <c r="I82" s="464">
        <f>SUM(I66:I81)</f>
        <v>6000</v>
      </c>
      <c r="J82" s="407"/>
      <c r="K82" s="292"/>
    </row>
    <row r="83" ht="20.25" thickTop="1"/>
    <row r="85" spans="1:10" s="3" customFormat="1" ht="21">
      <c r="A85" s="600" t="s">
        <v>338</v>
      </c>
      <c r="B85" s="600"/>
      <c r="D85" s="600" t="s">
        <v>339</v>
      </c>
      <c r="E85" s="600"/>
      <c r="F85" s="600"/>
      <c r="G85" s="600"/>
      <c r="H85" s="600" t="s">
        <v>342</v>
      </c>
      <c r="I85" s="600"/>
      <c r="J85" s="600"/>
    </row>
    <row r="86" spans="1:10" s="3" customFormat="1" ht="21">
      <c r="A86" s="600" t="s">
        <v>340</v>
      </c>
      <c r="B86" s="600"/>
      <c r="D86" s="600" t="s">
        <v>372</v>
      </c>
      <c r="E86" s="600"/>
      <c r="F86" s="600"/>
      <c r="G86" s="600"/>
      <c r="H86" s="600" t="s">
        <v>343</v>
      </c>
      <c r="I86" s="600"/>
      <c r="J86" s="600"/>
    </row>
  </sheetData>
  <sheetProtection/>
  <mergeCells count="12">
    <mergeCell ref="A63:H63"/>
    <mergeCell ref="A82:H82"/>
    <mergeCell ref="A1:K1"/>
    <mergeCell ref="A2:K2"/>
    <mergeCell ref="A22:H22"/>
    <mergeCell ref="A42:H42"/>
    <mergeCell ref="A85:B85"/>
    <mergeCell ref="D85:G85"/>
    <mergeCell ref="H85:J85"/>
    <mergeCell ref="A86:B86"/>
    <mergeCell ref="D86:G86"/>
    <mergeCell ref="H86:J86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1"/>
  <sheetViews>
    <sheetView zoomScalePageLayoutView="0" workbookViewId="0" topLeftCell="A68">
      <selection activeCell="E21" sqref="E21"/>
    </sheetView>
  </sheetViews>
  <sheetFormatPr defaultColWidth="9.140625" defaultRowHeight="15"/>
  <cols>
    <col min="3" max="3" width="24.8515625" style="0" customWidth="1"/>
    <col min="4" max="4" width="11.57421875" style="0" customWidth="1"/>
    <col min="5" max="5" width="18.57421875" style="0" customWidth="1"/>
    <col min="6" max="6" width="17.140625" style="0" customWidth="1"/>
    <col min="7" max="7" width="11.421875" style="0" customWidth="1"/>
    <col min="8" max="8" width="13.28125" style="0" bestFit="1" customWidth="1"/>
  </cols>
  <sheetData>
    <row r="1" spans="1:6" s="351" customFormat="1" ht="21">
      <c r="A1" s="55"/>
      <c r="B1" s="55"/>
      <c r="C1" s="55"/>
      <c r="D1" s="258"/>
      <c r="E1" s="579" t="s">
        <v>524</v>
      </c>
      <c r="F1" s="579"/>
    </row>
    <row r="2" spans="1:6" s="351" customFormat="1" ht="21">
      <c r="A2" s="580" t="s">
        <v>466</v>
      </c>
      <c r="B2" s="580"/>
      <c r="C2" s="580"/>
      <c r="D2" s="580"/>
      <c r="E2" s="580"/>
      <c r="F2" s="580"/>
    </row>
    <row r="3" spans="1:6" s="351" customFormat="1" ht="18.75">
      <c r="A3" s="286" t="s">
        <v>467</v>
      </c>
      <c r="B3" s="286"/>
      <c r="C3" s="286"/>
      <c r="D3" s="286"/>
      <c r="E3" s="286"/>
      <c r="F3" s="352"/>
    </row>
    <row r="4" spans="1:6" s="351" customFormat="1" ht="18.75">
      <c r="A4" s="353"/>
      <c r="B4" s="353"/>
      <c r="C4" s="353"/>
      <c r="D4" s="353"/>
      <c r="E4" s="353"/>
      <c r="F4" s="353"/>
    </row>
    <row r="5" spans="1:6" s="351" customFormat="1" ht="18.75">
      <c r="A5" s="581" t="s">
        <v>468</v>
      </c>
      <c r="B5" s="581"/>
      <c r="C5" s="581"/>
      <c r="D5" s="354" t="s">
        <v>305</v>
      </c>
      <c r="E5" s="354" t="s">
        <v>306</v>
      </c>
      <c r="F5" s="354" t="s">
        <v>307</v>
      </c>
    </row>
    <row r="6" spans="1:6" s="351" customFormat="1" ht="21">
      <c r="A6" s="355" t="s">
        <v>469</v>
      </c>
      <c r="B6" s="274"/>
      <c r="C6" s="320"/>
      <c r="D6" s="356">
        <v>41100001</v>
      </c>
      <c r="E6" s="56">
        <v>81687</v>
      </c>
      <c r="F6" s="262"/>
    </row>
    <row r="7" spans="1:6" s="351" customFormat="1" ht="21">
      <c r="A7" s="357" t="s">
        <v>470</v>
      </c>
      <c r="B7" s="310"/>
      <c r="C7" s="310"/>
      <c r="D7" s="266">
        <v>41100002</v>
      </c>
      <c r="E7" s="56">
        <v>38269.28</v>
      </c>
      <c r="F7" s="262"/>
    </row>
    <row r="8" spans="1:6" s="351" customFormat="1" ht="21">
      <c r="A8" s="310" t="s">
        <v>471</v>
      </c>
      <c r="B8" s="310"/>
      <c r="C8" s="310"/>
      <c r="D8" s="266">
        <v>41100003</v>
      </c>
      <c r="E8" s="56">
        <v>76327</v>
      </c>
      <c r="F8" s="262"/>
    </row>
    <row r="9" spans="1:6" s="351" customFormat="1" ht="21" hidden="1">
      <c r="A9" s="357" t="s">
        <v>472</v>
      </c>
      <c r="B9" s="310"/>
      <c r="C9" s="310"/>
      <c r="D9" s="266">
        <v>411004</v>
      </c>
      <c r="E9" s="56">
        <v>0</v>
      </c>
      <c r="F9" s="262"/>
    </row>
    <row r="10" spans="1:6" s="351" customFormat="1" ht="21">
      <c r="A10" s="357" t="s">
        <v>473</v>
      </c>
      <c r="B10" s="310"/>
      <c r="C10" s="310"/>
      <c r="D10" s="266">
        <v>41300002</v>
      </c>
      <c r="E10" s="56">
        <v>500</v>
      </c>
      <c r="F10" s="262"/>
    </row>
    <row r="11" spans="1:6" s="351" customFormat="1" ht="21">
      <c r="A11" s="357" t="s">
        <v>474</v>
      </c>
      <c r="B11" s="310"/>
      <c r="C11" s="310"/>
      <c r="D11" s="266">
        <v>41300003</v>
      </c>
      <c r="E11" s="71">
        <v>133747.2</v>
      </c>
      <c r="F11" s="262"/>
    </row>
    <row r="12" spans="1:6" s="351" customFormat="1" ht="21" hidden="1">
      <c r="A12" s="357" t="s">
        <v>475</v>
      </c>
      <c r="B12" s="310"/>
      <c r="C12" s="310"/>
      <c r="D12" s="266">
        <v>41500004</v>
      </c>
      <c r="E12" s="56">
        <v>0</v>
      </c>
      <c r="F12" s="262"/>
    </row>
    <row r="13" spans="1:6" s="351" customFormat="1" ht="21">
      <c r="A13" s="357" t="s">
        <v>476</v>
      </c>
      <c r="B13" s="310"/>
      <c r="C13" s="310"/>
      <c r="D13" s="266">
        <v>41599999</v>
      </c>
      <c r="E13" s="56">
        <v>6810.5</v>
      </c>
      <c r="F13" s="262"/>
    </row>
    <row r="14" spans="1:6" s="351" customFormat="1" ht="21" hidden="1">
      <c r="A14" s="355" t="s">
        <v>477</v>
      </c>
      <c r="B14" s="274"/>
      <c r="C14" s="274"/>
      <c r="D14" s="266">
        <v>412101</v>
      </c>
      <c r="E14" s="56">
        <v>0</v>
      </c>
      <c r="F14" s="262"/>
    </row>
    <row r="15" spans="1:6" s="351" customFormat="1" ht="21">
      <c r="A15" s="357" t="s">
        <v>478</v>
      </c>
      <c r="B15" s="310"/>
      <c r="C15" s="310"/>
      <c r="D15" s="266">
        <v>41210004</v>
      </c>
      <c r="E15" s="56">
        <v>1193.1</v>
      </c>
      <c r="F15" s="262"/>
    </row>
    <row r="16" spans="1:6" s="351" customFormat="1" ht="21">
      <c r="A16" s="355" t="s">
        <v>479</v>
      </c>
      <c r="B16" s="274"/>
      <c r="C16" s="274"/>
      <c r="D16" s="266">
        <v>41210007</v>
      </c>
      <c r="E16" s="56">
        <v>2315</v>
      </c>
      <c r="F16" s="262"/>
    </row>
    <row r="17" spans="1:6" s="360" customFormat="1" ht="13.5">
      <c r="A17" s="575" t="s">
        <v>480</v>
      </c>
      <c r="B17" s="575"/>
      <c r="C17" s="576"/>
      <c r="D17" s="577">
        <v>41210010</v>
      </c>
      <c r="E17" s="578">
        <v>3600</v>
      </c>
      <c r="F17" s="582"/>
    </row>
    <row r="18" spans="1:6" s="360" customFormat="1" ht="26.25" customHeight="1">
      <c r="A18" s="575"/>
      <c r="B18" s="575"/>
      <c r="C18" s="576"/>
      <c r="D18" s="577"/>
      <c r="E18" s="578"/>
      <c r="F18" s="582"/>
    </row>
    <row r="19" spans="1:6" s="360" customFormat="1" ht="21">
      <c r="A19" s="575" t="s">
        <v>481</v>
      </c>
      <c r="B19" s="575"/>
      <c r="C19" s="576"/>
      <c r="D19" s="358">
        <v>41210029</v>
      </c>
      <c r="E19" s="361">
        <v>440</v>
      </c>
      <c r="F19" s="359"/>
    </row>
    <row r="20" spans="1:6" s="360" customFormat="1" ht="21" hidden="1">
      <c r="A20" s="575" t="s">
        <v>482</v>
      </c>
      <c r="B20" s="575"/>
      <c r="C20" s="576"/>
      <c r="D20" s="358">
        <v>41210030</v>
      </c>
      <c r="E20" s="361">
        <v>0</v>
      </c>
      <c r="F20" s="359"/>
    </row>
    <row r="21" spans="1:6" s="351" customFormat="1" ht="21">
      <c r="A21" s="355" t="s">
        <v>483</v>
      </c>
      <c r="B21" s="274"/>
      <c r="C21" s="274"/>
      <c r="D21" s="266">
        <v>41219999</v>
      </c>
      <c r="E21" s="56">
        <v>1125</v>
      </c>
      <c r="F21" s="262"/>
    </row>
    <row r="22" spans="1:6" s="351" customFormat="1" ht="21">
      <c r="A22" s="355" t="s">
        <v>484</v>
      </c>
      <c r="B22" s="274"/>
      <c r="C22" s="274"/>
      <c r="D22" s="266">
        <v>41220010</v>
      </c>
      <c r="E22" s="56">
        <v>83602</v>
      </c>
      <c r="F22" s="262"/>
    </row>
    <row r="23" spans="1:6" s="351" customFormat="1" ht="21" hidden="1">
      <c r="A23" s="274" t="s">
        <v>485</v>
      </c>
      <c r="B23" s="274"/>
      <c r="C23" s="274"/>
      <c r="D23" s="266">
        <v>41229999</v>
      </c>
      <c r="E23" s="56">
        <v>0</v>
      </c>
      <c r="F23" s="262"/>
    </row>
    <row r="24" spans="1:6" s="351" customFormat="1" ht="21">
      <c r="A24" s="355" t="s">
        <v>486</v>
      </c>
      <c r="B24" s="274"/>
      <c r="C24" s="274"/>
      <c r="D24" s="266">
        <v>41230002</v>
      </c>
      <c r="E24" s="56">
        <v>3000</v>
      </c>
      <c r="F24" s="262"/>
    </row>
    <row r="25" spans="1:6" s="351" customFormat="1" ht="21">
      <c r="A25" s="355" t="s">
        <v>487</v>
      </c>
      <c r="B25" s="274"/>
      <c r="C25" s="274"/>
      <c r="D25" s="266">
        <v>41230003</v>
      </c>
      <c r="E25" s="56">
        <v>10800</v>
      </c>
      <c r="F25" s="262"/>
    </row>
    <row r="26" spans="1:6" s="360" customFormat="1" ht="21">
      <c r="A26" s="575" t="s">
        <v>488</v>
      </c>
      <c r="B26" s="575"/>
      <c r="C26" s="576"/>
      <c r="D26" s="577">
        <v>41230004</v>
      </c>
      <c r="E26" s="578">
        <v>2000</v>
      </c>
      <c r="F26" s="359"/>
    </row>
    <row r="27" spans="1:6" s="360" customFormat="1" ht="21">
      <c r="A27" s="575"/>
      <c r="B27" s="575"/>
      <c r="C27" s="576"/>
      <c r="D27" s="577"/>
      <c r="E27" s="578"/>
      <c r="F27" s="359"/>
    </row>
    <row r="28" spans="1:6" s="360" customFormat="1" ht="21">
      <c r="A28" s="575" t="s">
        <v>489</v>
      </c>
      <c r="B28" s="575"/>
      <c r="C28" s="576"/>
      <c r="D28" s="358">
        <v>41230005</v>
      </c>
      <c r="E28" s="361">
        <v>200</v>
      </c>
      <c r="F28" s="359"/>
    </row>
    <row r="29" spans="1:6" s="360" customFormat="1" ht="21" hidden="1">
      <c r="A29" s="575" t="s">
        <v>490</v>
      </c>
      <c r="B29" s="575"/>
      <c r="C29" s="576"/>
      <c r="D29" s="358">
        <v>41230006</v>
      </c>
      <c r="E29" s="361">
        <v>0</v>
      </c>
      <c r="F29" s="359"/>
    </row>
    <row r="30" spans="1:6" s="351" customFormat="1" ht="21" hidden="1">
      <c r="A30" s="355" t="s">
        <v>485</v>
      </c>
      <c r="B30" s="274"/>
      <c r="C30" s="274"/>
      <c r="D30" s="266">
        <v>412299</v>
      </c>
      <c r="E30" s="56">
        <v>0</v>
      </c>
      <c r="F30" s="262"/>
    </row>
    <row r="31" spans="1:6" s="351" customFormat="1" ht="21">
      <c r="A31" s="355" t="s">
        <v>491</v>
      </c>
      <c r="B31" s="274"/>
      <c r="C31" s="274"/>
      <c r="D31" s="266">
        <v>41230007</v>
      </c>
      <c r="E31" s="56">
        <v>500</v>
      </c>
      <c r="F31" s="262"/>
    </row>
    <row r="32" spans="1:6" s="351" customFormat="1" ht="21">
      <c r="A32" s="355" t="s">
        <v>492</v>
      </c>
      <c r="B32" s="274"/>
      <c r="C32" s="274"/>
      <c r="D32" s="266">
        <v>41239999</v>
      </c>
      <c r="E32" s="56">
        <v>2540</v>
      </c>
      <c r="F32" s="262"/>
    </row>
    <row r="33" spans="1:6" s="351" customFormat="1" ht="21">
      <c r="A33" s="355" t="s">
        <v>493</v>
      </c>
      <c r="B33" s="274"/>
      <c r="C33" s="274"/>
      <c r="D33" s="266">
        <v>42100001</v>
      </c>
      <c r="E33" s="56">
        <v>455854.37</v>
      </c>
      <c r="F33" s="262"/>
    </row>
    <row r="34" spans="1:6" s="351" customFormat="1" ht="21">
      <c r="A34" s="355" t="s">
        <v>494</v>
      </c>
      <c r="B34" s="274"/>
      <c r="C34" s="274"/>
      <c r="D34" s="281">
        <v>42100002</v>
      </c>
      <c r="E34" s="56">
        <v>9750958.08</v>
      </c>
      <c r="F34" s="262"/>
    </row>
    <row r="35" spans="1:6" s="351" customFormat="1" ht="21">
      <c r="A35" s="355" t="s">
        <v>495</v>
      </c>
      <c r="B35" s="274"/>
      <c r="C35" s="274"/>
      <c r="D35" s="281">
        <v>42100004</v>
      </c>
      <c r="E35" s="56">
        <v>1567340.42</v>
      </c>
      <c r="F35" s="262"/>
    </row>
    <row r="36" spans="1:6" s="351" customFormat="1" ht="21">
      <c r="A36" s="355" t="s">
        <v>496</v>
      </c>
      <c r="B36" s="274"/>
      <c r="C36" s="274"/>
      <c r="D36" s="281">
        <v>42100005</v>
      </c>
      <c r="E36" s="56">
        <v>75507.29</v>
      </c>
      <c r="F36" s="262"/>
    </row>
    <row r="37" spans="1:6" s="351" customFormat="1" ht="21" hidden="1">
      <c r="A37" s="274" t="s">
        <v>497</v>
      </c>
      <c r="B37" s="274"/>
      <c r="C37" s="274"/>
      <c r="D37" s="281">
        <v>42100006</v>
      </c>
      <c r="E37" s="56">
        <v>0</v>
      </c>
      <c r="F37" s="262"/>
    </row>
    <row r="38" spans="1:6" s="351" customFormat="1" ht="21">
      <c r="A38" s="355" t="s">
        <v>498</v>
      </c>
      <c r="B38" s="274"/>
      <c r="C38" s="274"/>
      <c r="D38" s="281">
        <v>42100007</v>
      </c>
      <c r="E38" s="56">
        <v>2663291.78</v>
      </c>
      <c r="F38" s="262"/>
    </row>
    <row r="39" spans="1:6" s="351" customFormat="1" ht="21" hidden="1">
      <c r="A39" s="355" t="s">
        <v>499</v>
      </c>
      <c r="B39" s="274"/>
      <c r="C39" s="274"/>
      <c r="D39" s="281">
        <v>421008</v>
      </c>
      <c r="E39" s="56">
        <v>0</v>
      </c>
      <c r="F39" s="262"/>
    </row>
    <row r="40" spans="1:6" s="351" customFormat="1" ht="21" hidden="1">
      <c r="A40" s="355" t="s">
        <v>500</v>
      </c>
      <c r="B40" s="274"/>
      <c r="C40" s="274"/>
      <c r="D40" s="281">
        <v>42100011</v>
      </c>
      <c r="E40" s="56">
        <v>0</v>
      </c>
      <c r="F40" s="262"/>
    </row>
    <row r="41" spans="1:6" s="351" customFormat="1" ht="21">
      <c r="A41" s="355" t="s">
        <v>501</v>
      </c>
      <c r="B41" s="274"/>
      <c r="C41" s="274"/>
      <c r="D41" s="281">
        <v>42100012</v>
      </c>
      <c r="E41" s="56">
        <v>38381.59</v>
      </c>
      <c r="F41" s="262"/>
    </row>
    <row r="42" spans="1:6" s="351" customFormat="1" ht="21">
      <c r="A42" s="355" t="s">
        <v>502</v>
      </c>
      <c r="B42" s="274"/>
      <c r="C42" s="274"/>
      <c r="D42" s="281">
        <v>42100013</v>
      </c>
      <c r="E42" s="56">
        <v>20792.27</v>
      </c>
      <c r="F42" s="262"/>
    </row>
    <row r="43" spans="1:6" s="351" customFormat="1" ht="21">
      <c r="A43" s="355" t="s">
        <v>503</v>
      </c>
      <c r="B43" s="274"/>
      <c r="C43" s="274"/>
      <c r="D43" s="281">
        <v>42100015</v>
      </c>
      <c r="E43" s="56">
        <v>630213</v>
      </c>
      <c r="F43" s="262"/>
    </row>
    <row r="44" spans="1:6" s="351" customFormat="1" ht="21">
      <c r="A44" s="274"/>
      <c r="B44" s="274"/>
      <c r="C44" s="274"/>
      <c r="D44" s="320"/>
      <c r="E44" s="56"/>
      <c r="F44" s="274"/>
    </row>
    <row r="45" spans="1:6" s="351" customFormat="1" ht="21">
      <c r="A45" s="274"/>
      <c r="B45" s="274"/>
      <c r="C45" s="274"/>
      <c r="D45" s="320"/>
      <c r="E45" s="56"/>
      <c r="F45" s="274"/>
    </row>
    <row r="46" spans="1:6" s="363" customFormat="1" ht="21">
      <c r="A46" s="276"/>
      <c r="B46" s="276"/>
      <c r="C46" s="276"/>
      <c r="D46" s="277" t="s">
        <v>334</v>
      </c>
      <c r="E46" s="278"/>
      <c r="F46" s="276"/>
    </row>
    <row r="47" spans="1:6" s="351" customFormat="1" ht="18.75">
      <c r="A47" s="573" t="s">
        <v>468</v>
      </c>
      <c r="B47" s="573"/>
      <c r="C47" s="573"/>
      <c r="D47" s="371" t="s">
        <v>305</v>
      </c>
      <c r="E47" s="371" t="s">
        <v>306</v>
      </c>
      <c r="F47" s="371" t="s">
        <v>307</v>
      </c>
    </row>
    <row r="48" spans="1:8" s="351" customFormat="1" ht="21">
      <c r="A48" s="355" t="s">
        <v>264</v>
      </c>
      <c r="B48" s="274"/>
      <c r="C48" s="274"/>
      <c r="D48" s="281">
        <v>43100002</v>
      </c>
      <c r="E48" s="56">
        <v>10050915</v>
      </c>
      <c r="F48" s="262"/>
      <c r="G48" s="362">
        <f>SUM(E6:E48)</f>
        <v>25701909.879999995</v>
      </c>
      <c r="H48" s="56">
        <f>10038214-5500-21800-56872</f>
        <v>9954042</v>
      </c>
    </row>
    <row r="49" spans="1:6" s="363" customFormat="1" ht="21">
      <c r="A49" s="311" t="s">
        <v>525</v>
      </c>
      <c r="B49" s="274"/>
      <c r="C49" s="274"/>
      <c r="D49" s="281">
        <v>44100001</v>
      </c>
      <c r="E49" s="267">
        <v>3646763.24</v>
      </c>
      <c r="F49" s="262"/>
    </row>
    <row r="50" spans="1:6" s="351" customFormat="1" ht="21">
      <c r="A50" s="274" t="s">
        <v>49</v>
      </c>
      <c r="B50" s="320"/>
      <c r="C50" s="355"/>
      <c r="D50" s="281">
        <v>51100000</v>
      </c>
      <c r="E50" s="56"/>
      <c r="F50" s="264">
        <v>4545228</v>
      </c>
    </row>
    <row r="51" spans="1:6" s="351" customFormat="1" ht="21">
      <c r="A51" s="274" t="s">
        <v>504</v>
      </c>
      <c r="B51" s="274"/>
      <c r="C51" s="355"/>
      <c r="D51" s="281">
        <v>52100000</v>
      </c>
      <c r="E51" s="56"/>
      <c r="F51" s="264">
        <v>2191981</v>
      </c>
    </row>
    <row r="52" spans="1:6" s="351" customFormat="1" ht="21">
      <c r="A52" s="274" t="s">
        <v>505</v>
      </c>
      <c r="B52" s="274"/>
      <c r="C52" s="355"/>
      <c r="D52" s="364">
        <v>52200000</v>
      </c>
      <c r="E52" s="56"/>
      <c r="F52" s="264">
        <v>7451405</v>
      </c>
    </row>
    <row r="53" spans="1:6" s="351" customFormat="1" ht="21">
      <c r="A53" s="274" t="s">
        <v>45</v>
      </c>
      <c r="B53" s="274"/>
      <c r="C53" s="355"/>
      <c r="D53" s="364">
        <v>53100000</v>
      </c>
      <c r="E53" s="56"/>
      <c r="F53" s="264">
        <v>699330</v>
      </c>
    </row>
    <row r="54" spans="1:6" s="351" customFormat="1" ht="21">
      <c r="A54" s="274" t="s">
        <v>46</v>
      </c>
      <c r="B54" s="274"/>
      <c r="C54" s="355"/>
      <c r="D54" s="364">
        <v>53200000</v>
      </c>
      <c r="E54" s="56"/>
      <c r="F54" s="264">
        <v>3210955.93</v>
      </c>
    </row>
    <row r="55" spans="1:6" s="351" customFormat="1" ht="21">
      <c r="A55" s="274" t="s">
        <v>47</v>
      </c>
      <c r="B55" s="320"/>
      <c r="C55" s="355"/>
      <c r="D55" s="364">
        <v>53300000</v>
      </c>
      <c r="E55" s="56"/>
      <c r="F55" s="264">
        <v>1297686.97</v>
      </c>
    </row>
    <row r="56" spans="1:6" s="351" customFormat="1" ht="21">
      <c r="A56" s="355" t="s">
        <v>100</v>
      </c>
      <c r="B56" s="274"/>
      <c r="C56" s="355"/>
      <c r="D56" s="364">
        <v>53400000</v>
      </c>
      <c r="E56" s="56"/>
      <c r="F56" s="264">
        <v>298662.48</v>
      </c>
    </row>
    <row r="57" spans="1:6" s="351" customFormat="1" ht="21">
      <c r="A57" s="274" t="s">
        <v>101</v>
      </c>
      <c r="B57" s="274"/>
      <c r="C57" s="355"/>
      <c r="D57" s="364">
        <v>54100000</v>
      </c>
      <c r="E57" s="56"/>
      <c r="F57" s="264">
        <v>85800</v>
      </c>
    </row>
    <row r="58" spans="1:6" s="351" customFormat="1" ht="21">
      <c r="A58" s="355" t="s">
        <v>526</v>
      </c>
      <c r="B58" s="274"/>
      <c r="C58" s="355"/>
      <c r="D58" s="364">
        <v>54200000</v>
      </c>
      <c r="E58" s="56"/>
      <c r="F58" s="264">
        <v>3646763.24</v>
      </c>
    </row>
    <row r="59" spans="1:6" s="351" customFormat="1" ht="21">
      <c r="A59" s="355" t="s">
        <v>50</v>
      </c>
      <c r="B59" s="274"/>
      <c r="C59" s="355"/>
      <c r="D59" s="364">
        <v>54200000</v>
      </c>
      <c r="E59" s="56"/>
      <c r="F59" s="264">
        <v>2413000</v>
      </c>
    </row>
    <row r="60" spans="1:6" s="351" customFormat="1" ht="21">
      <c r="A60" s="274" t="s">
        <v>28</v>
      </c>
      <c r="B60" s="274"/>
      <c r="C60" s="355"/>
      <c r="D60" s="364">
        <v>56100000</v>
      </c>
      <c r="E60" s="56"/>
      <c r="F60" s="264">
        <v>1204513.81</v>
      </c>
    </row>
    <row r="61" spans="1:6" s="351" customFormat="1" ht="21">
      <c r="A61" s="274" t="s">
        <v>48</v>
      </c>
      <c r="B61" s="274"/>
      <c r="C61" s="355"/>
      <c r="D61" s="364">
        <v>55100000</v>
      </c>
      <c r="E61" s="56"/>
      <c r="F61" s="264">
        <v>18000</v>
      </c>
    </row>
    <row r="62" spans="1:6" s="351" customFormat="1" ht="21">
      <c r="A62" s="274" t="s">
        <v>52</v>
      </c>
      <c r="B62" s="274"/>
      <c r="C62" s="355"/>
      <c r="D62" s="364">
        <v>31000000</v>
      </c>
      <c r="E62" s="56"/>
      <c r="F62" s="264">
        <f>+'รับ-จ่าย'!C36*0.75</f>
        <v>1714010.0175000038</v>
      </c>
    </row>
    <row r="63" spans="1:6" s="351" customFormat="1" ht="21">
      <c r="A63" s="274" t="s">
        <v>22</v>
      </c>
      <c r="B63" s="310"/>
      <c r="C63" s="310"/>
      <c r="D63" s="281">
        <v>32000000</v>
      </c>
      <c r="E63" s="365"/>
      <c r="F63" s="264">
        <f>+'รับ-จ่าย'!C36*0.25</f>
        <v>571336.6725000013</v>
      </c>
    </row>
    <row r="64" spans="1:6" s="351" customFormat="1" ht="21">
      <c r="A64" s="274"/>
      <c r="B64" s="274"/>
      <c r="C64" s="274"/>
      <c r="D64" s="281"/>
      <c r="E64" s="178"/>
      <c r="F64" s="365"/>
    </row>
    <row r="65" spans="1:7" s="351" customFormat="1" ht="21.75" thickBot="1">
      <c r="A65" s="55"/>
      <c r="B65" s="55"/>
      <c r="C65" s="55"/>
      <c r="D65" s="262"/>
      <c r="E65" s="366">
        <f>SUM(E6:E64)</f>
        <v>29348673.119999997</v>
      </c>
      <c r="F65" s="366">
        <f>SUM(F6:F64)</f>
        <v>29348673.119999997</v>
      </c>
      <c r="G65" s="362">
        <f>+E65-F65</f>
        <v>0</v>
      </c>
    </row>
    <row r="66" spans="1:6" s="351" customFormat="1" ht="21.75" thickTop="1">
      <c r="A66" s="55"/>
      <c r="B66" s="55"/>
      <c r="C66" s="55"/>
      <c r="D66" s="55"/>
      <c r="E66" s="55"/>
      <c r="F66" s="55"/>
    </row>
    <row r="67" spans="1:9" s="351" customFormat="1" ht="21">
      <c r="A67" s="55"/>
      <c r="B67" s="55"/>
      <c r="C67" s="55"/>
      <c r="D67" s="55"/>
      <c r="E67" s="55"/>
      <c r="F67" s="55"/>
      <c r="I67" s="362"/>
    </row>
    <row r="68" spans="1:6" s="351" customFormat="1" ht="18.75">
      <c r="A68" s="367"/>
      <c r="B68" s="367"/>
      <c r="C68" s="367"/>
      <c r="D68" s="367"/>
      <c r="E68" s="367"/>
      <c r="F68" s="367"/>
    </row>
    <row r="69" spans="1:6" s="351" customFormat="1" ht="18.75">
      <c r="A69" s="286" t="s">
        <v>506</v>
      </c>
      <c r="B69" s="353"/>
      <c r="C69" s="353"/>
      <c r="D69" s="353"/>
      <c r="E69" s="286"/>
      <c r="F69" s="286"/>
    </row>
    <row r="70" spans="1:6" s="351" customFormat="1" ht="18.75">
      <c r="A70" s="286"/>
      <c r="B70" s="353" t="s">
        <v>507</v>
      </c>
      <c r="C70" s="353"/>
      <c r="D70" s="353"/>
      <c r="E70" s="286"/>
      <c r="F70" s="286"/>
    </row>
    <row r="71" spans="1:6" s="351" customFormat="1" ht="18.75">
      <c r="A71" s="367"/>
      <c r="B71" s="367"/>
      <c r="C71" s="367"/>
      <c r="D71" s="367"/>
      <c r="E71" s="367"/>
      <c r="F71" s="367"/>
    </row>
    <row r="72" spans="1:6" s="363" customFormat="1" ht="18.75">
      <c r="A72" s="353"/>
      <c r="B72" s="353"/>
      <c r="C72" s="353"/>
      <c r="D72" s="353"/>
      <c r="E72" s="353"/>
      <c r="F72" s="353"/>
    </row>
    <row r="73" spans="1:6" s="370" customFormat="1" ht="18.75">
      <c r="A73" s="286"/>
      <c r="B73" s="368"/>
      <c r="C73" s="368"/>
      <c r="D73" s="574" t="s">
        <v>508</v>
      </c>
      <c r="E73" s="574"/>
      <c r="F73" s="574"/>
    </row>
    <row r="74" spans="1:6" s="370" customFormat="1" ht="18.75">
      <c r="A74" s="286"/>
      <c r="B74" s="369"/>
      <c r="C74" s="369"/>
      <c r="D74" s="574" t="s">
        <v>509</v>
      </c>
      <c r="E74" s="574"/>
      <c r="F74" s="574"/>
    </row>
    <row r="75" spans="1:6" s="370" customFormat="1" ht="18.75">
      <c r="A75" s="286"/>
      <c r="B75" s="286"/>
      <c r="C75" s="286"/>
      <c r="D75" s="369"/>
      <c r="E75" s="369"/>
      <c r="F75" s="369"/>
    </row>
    <row r="76" spans="1:6" s="370" customFormat="1" ht="18.75">
      <c r="A76" s="286"/>
      <c r="B76" s="368"/>
      <c r="C76" s="368"/>
      <c r="D76" s="286"/>
      <c r="E76" s="286"/>
      <c r="F76" s="286"/>
    </row>
    <row r="77" spans="1:6" s="370" customFormat="1" ht="18.75">
      <c r="A77" s="286"/>
      <c r="B77" s="368"/>
      <c r="C77" s="368"/>
      <c r="D77" s="574" t="s">
        <v>510</v>
      </c>
      <c r="E77" s="574"/>
      <c r="F77" s="574"/>
    </row>
    <row r="78" spans="1:6" s="370" customFormat="1" ht="18.75">
      <c r="A78" s="286"/>
      <c r="B78" s="368"/>
      <c r="C78" s="368"/>
      <c r="D78" s="369"/>
      <c r="E78" s="369"/>
      <c r="F78" s="369"/>
    </row>
    <row r="79" spans="4:6" ht="18.75">
      <c r="D79" s="574" t="s">
        <v>338</v>
      </c>
      <c r="E79" s="574"/>
      <c r="F79" s="574"/>
    </row>
    <row r="80" spans="4:6" ht="18.75">
      <c r="D80" s="369"/>
      <c r="E80" s="369"/>
      <c r="F80" s="369"/>
    </row>
    <row r="81" spans="4:6" ht="18.75">
      <c r="D81" s="574"/>
      <c r="E81" s="574"/>
      <c r="F81" s="574"/>
    </row>
  </sheetData>
  <sheetProtection/>
  <mergeCells count="20">
    <mergeCell ref="E1:F1"/>
    <mergeCell ref="A2:F2"/>
    <mergeCell ref="A5:C5"/>
    <mergeCell ref="A17:C18"/>
    <mergeCell ref="D17:D18"/>
    <mergeCell ref="E17:E18"/>
    <mergeCell ref="F17:F18"/>
    <mergeCell ref="A19:C19"/>
    <mergeCell ref="A20:C20"/>
    <mergeCell ref="A26:C27"/>
    <mergeCell ref="D26:D27"/>
    <mergeCell ref="E26:E27"/>
    <mergeCell ref="A28:C28"/>
    <mergeCell ref="A47:C47"/>
    <mergeCell ref="D81:F81"/>
    <mergeCell ref="A29:C29"/>
    <mergeCell ref="D73:F73"/>
    <mergeCell ref="D74:F74"/>
    <mergeCell ref="D77:F77"/>
    <mergeCell ref="D79:F79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1"/>
  <sheetViews>
    <sheetView view="pageBreakPreview" zoomScaleSheetLayoutView="100" zoomScalePageLayoutView="0" workbookViewId="0" topLeftCell="A49">
      <selection activeCell="K60" sqref="K60"/>
    </sheetView>
  </sheetViews>
  <sheetFormatPr defaultColWidth="9.140625" defaultRowHeight="15"/>
  <cols>
    <col min="1" max="2" width="4.57421875" style="73" customWidth="1"/>
    <col min="3" max="3" width="5.421875" style="73" customWidth="1"/>
    <col min="4" max="4" width="25.8515625" style="73" customWidth="1"/>
    <col min="5" max="5" width="5.28125" style="74" customWidth="1"/>
    <col min="6" max="6" width="2.7109375" style="74" customWidth="1"/>
    <col min="7" max="7" width="18.57421875" style="74" customWidth="1"/>
    <col min="8" max="8" width="9.7109375" style="74" customWidth="1"/>
    <col min="9" max="9" width="18.421875" style="76" customWidth="1"/>
    <col min="10" max="16384" width="9.00390625" style="73" customWidth="1"/>
  </cols>
  <sheetData>
    <row r="1" spans="1:9" ht="21">
      <c r="A1" s="583" t="s">
        <v>303</v>
      </c>
      <c r="B1" s="583"/>
      <c r="C1" s="583"/>
      <c r="D1" s="583"/>
      <c r="E1" s="583"/>
      <c r="F1" s="583"/>
      <c r="G1" s="583"/>
      <c r="H1" s="583"/>
      <c r="I1" s="583"/>
    </row>
    <row r="2" spans="1:9" ht="21">
      <c r="A2" s="583" t="s">
        <v>0</v>
      </c>
      <c r="B2" s="583"/>
      <c r="C2" s="583"/>
      <c r="D2" s="583"/>
      <c r="E2" s="583"/>
      <c r="F2" s="583"/>
      <c r="G2" s="583"/>
      <c r="H2" s="583"/>
      <c r="I2" s="583"/>
    </row>
    <row r="3" spans="1:9" ht="21">
      <c r="A3" s="583" t="s">
        <v>182</v>
      </c>
      <c r="B3" s="583"/>
      <c r="C3" s="583"/>
      <c r="D3" s="583"/>
      <c r="E3" s="583"/>
      <c r="F3" s="583"/>
      <c r="G3" s="583"/>
      <c r="H3" s="583"/>
      <c r="I3" s="583"/>
    </row>
    <row r="4" spans="1:9" ht="13.5" customHeight="1">
      <c r="A4" s="584"/>
      <c r="B4" s="584"/>
      <c r="C4" s="584"/>
      <c r="D4" s="584"/>
      <c r="E4" s="584"/>
      <c r="F4" s="584"/>
      <c r="G4" s="584"/>
      <c r="H4" s="584"/>
      <c r="I4" s="584"/>
    </row>
    <row r="5" spans="1:9" s="119" customFormat="1" ht="23.25">
      <c r="A5" s="116"/>
      <c r="B5" s="116"/>
      <c r="C5" s="116"/>
      <c r="D5" s="116"/>
      <c r="E5" s="117" t="s">
        <v>53</v>
      </c>
      <c r="F5" s="117"/>
      <c r="G5" s="118" t="s">
        <v>181</v>
      </c>
      <c r="H5" s="118"/>
      <c r="I5" s="224" t="s">
        <v>218</v>
      </c>
    </row>
    <row r="6" spans="1:9" s="119" customFormat="1" ht="24" thickBot="1">
      <c r="A6" s="122" t="s">
        <v>2</v>
      </c>
      <c r="B6" s="120"/>
      <c r="E6" s="117">
        <v>2</v>
      </c>
      <c r="F6" s="117"/>
      <c r="G6" s="415">
        <f>+งบทรัพย์สิน!B33</f>
        <v>10449379.8</v>
      </c>
      <c r="H6" s="416"/>
      <c r="I6" s="415">
        <f>งบทรัพย์สิน!C33</f>
        <v>10063579.8</v>
      </c>
    </row>
    <row r="7" spans="1:9" s="119" customFormat="1" ht="24" thickTop="1">
      <c r="A7" s="122" t="s">
        <v>1</v>
      </c>
      <c r="B7" s="120"/>
      <c r="E7" s="117"/>
      <c r="F7" s="117"/>
      <c r="G7" s="117"/>
      <c r="H7" s="117"/>
      <c r="I7" s="121"/>
    </row>
    <row r="8" spans="1:9" s="119" customFormat="1" ht="24" customHeight="1">
      <c r="A8" s="120"/>
      <c r="B8" s="122" t="s">
        <v>54</v>
      </c>
      <c r="E8" s="117"/>
      <c r="F8" s="117"/>
      <c r="G8" s="117"/>
      <c r="H8" s="117"/>
      <c r="I8" s="121"/>
    </row>
    <row r="9" spans="3:9" s="119" customFormat="1" ht="24" customHeight="1">
      <c r="C9" s="123" t="s">
        <v>3</v>
      </c>
      <c r="E9" s="117">
        <v>3</v>
      </c>
      <c r="F9" s="117"/>
      <c r="G9" s="412">
        <f>'หมายเหตุ 3,4,5,6'!D18</f>
        <v>19175735.84</v>
      </c>
      <c r="H9" s="229"/>
      <c r="I9" s="227">
        <f>'หมายเหตุ 3,4,5,6'!F18</f>
        <v>19727948.950000003</v>
      </c>
    </row>
    <row r="10" spans="3:9" s="119" customFormat="1" ht="24" customHeight="1">
      <c r="C10" s="123" t="s">
        <v>183</v>
      </c>
      <c r="E10" s="117">
        <v>4</v>
      </c>
      <c r="F10" s="117"/>
      <c r="G10" s="412">
        <f>'หมายเหตุ 3,4,5,6'!D23</f>
        <v>0</v>
      </c>
      <c r="H10" s="229"/>
      <c r="I10" s="227">
        <f>'หมายเหตุ 3,4,5,6'!F23</f>
        <v>0</v>
      </c>
    </row>
    <row r="11" spans="3:14" s="119" customFormat="1" ht="24" customHeight="1">
      <c r="C11" s="123" t="s">
        <v>184</v>
      </c>
      <c r="E11" s="117">
        <v>5</v>
      </c>
      <c r="F11" s="117"/>
      <c r="G11" s="412">
        <f>'หมายเหตุ 3,4,5,6'!D28</f>
        <v>0</v>
      </c>
      <c r="H11" s="229"/>
      <c r="I11" s="227">
        <f>'หมายเหตุ 3,4,5,6'!F28</f>
        <v>0</v>
      </c>
      <c r="N11" s="124"/>
    </row>
    <row r="12" spans="3:9" s="119" customFormat="1" ht="24" customHeight="1">
      <c r="C12" s="123" t="s">
        <v>5</v>
      </c>
      <c r="E12" s="117">
        <v>6</v>
      </c>
      <c r="F12" s="117"/>
      <c r="G12" s="412">
        <f>+'หมายเหตุ 3,4,5,6'!D45</f>
        <v>0</v>
      </c>
      <c r="H12" s="229"/>
      <c r="I12" s="227">
        <f>+'หมายเหตุ 3,4,5,6'!D55</f>
        <v>0</v>
      </c>
    </row>
    <row r="13" spans="3:9" s="119" customFormat="1" ht="24" customHeight="1">
      <c r="C13" s="123" t="s">
        <v>55</v>
      </c>
      <c r="E13" s="117">
        <v>7</v>
      </c>
      <c r="F13" s="117"/>
      <c r="G13" s="412">
        <f>'หมายเหตุ 7'!D15</f>
        <v>209600</v>
      </c>
      <c r="H13" s="229"/>
      <c r="I13" s="227">
        <f>'หมายเหตุ 7'!F15</f>
        <v>4449166.03</v>
      </c>
    </row>
    <row r="14" spans="3:9" s="119" customFormat="1" ht="24" customHeight="1">
      <c r="C14" s="123" t="s">
        <v>4</v>
      </c>
      <c r="E14" s="117">
        <v>8</v>
      </c>
      <c r="F14" s="117"/>
      <c r="G14" s="412">
        <f>'หมายเหตุ 8'!E32</f>
        <v>33090.84</v>
      </c>
      <c r="H14" s="229"/>
      <c r="I14" s="227">
        <f>'หมายเหตุ 8'!H32</f>
        <v>49517.97</v>
      </c>
    </row>
    <row r="15" spans="3:9" s="119" customFormat="1" ht="24" customHeight="1">
      <c r="C15" s="123" t="s">
        <v>56</v>
      </c>
      <c r="D15" s="123"/>
      <c r="E15" s="125">
        <v>9</v>
      </c>
      <c r="F15" s="125"/>
      <c r="G15" s="413">
        <f>'หมายเหตุ9-11'!C8</f>
        <v>0</v>
      </c>
      <c r="H15" s="230"/>
      <c r="I15" s="227">
        <f>'หมายเหตุ9-11'!E8</f>
        <v>0</v>
      </c>
    </row>
    <row r="16" spans="3:9" s="119" customFormat="1" ht="24" customHeight="1">
      <c r="C16" s="123" t="s">
        <v>7</v>
      </c>
      <c r="D16" s="123"/>
      <c r="E16" s="125">
        <v>10</v>
      </c>
      <c r="F16" s="125"/>
      <c r="G16" s="413">
        <f>+'หมายเหตุ9-11'!C34</f>
        <v>525178</v>
      </c>
      <c r="H16" s="230"/>
      <c r="I16" s="227">
        <f>+'หมายเหตุ9-11'!C63</f>
        <v>584378</v>
      </c>
    </row>
    <row r="17" spans="3:9" s="119" customFormat="1" ht="24" customHeight="1">
      <c r="C17" s="123" t="s">
        <v>8</v>
      </c>
      <c r="D17" s="123"/>
      <c r="E17" s="125">
        <v>11</v>
      </c>
      <c r="F17" s="125"/>
      <c r="G17" s="230">
        <f>'หมายเหตุ9-11'!C68</f>
        <v>0</v>
      </c>
      <c r="H17" s="230"/>
      <c r="I17" s="227">
        <f>'หมายเหตุ9-11'!E68</f>
        <v>0</v>
      </c>
    </row>
    <row r="18" spans="3:9" s="119" customFormat="1" ht="24" customHeight="1">
      <c r="C18" s="123" t="s">
        <v>6</v>
      </c>
      <c r="E18" s="117">
        <v>12</v>
      </c>
      <c r="F18" s="117"/>
      <c r="G18" s="229">
        <f>+'หมายเหตุ12-14'!C10</f>
        <v>0</v>
      </c>
      <c r="H18" s="229"/>
      <c r="I18" s="227">
        <f>+'หมายเหตุ12-14'!C16</f>
        <v>0</v>
      </c>
    </row>
    <row r="19" spans="3:9" s="119" customFormat="1" ht="24" customHeight="1">
      <c r="C19" s="123" t="s">
        <v>57</v>
      </c>
      <c r="E19" s="125">
        <v>13</v>
      </c>
      <c r="F19" s="125"/>
      <c r="G19" s="230">
        <f>'หมายเหตุ12-14'!C27</f>
        <v>0</v>
      </c>
      <c r="H19" s="230"/>
      <c r="I19" s="227">
        <f>'หมายเหตุ12-14'!E27</f>
        <v>0</v>
      </c>
    </row>
    <row r="20" spans="3:9" s="119" customFormat="1" ht="24" customHeight="1">
      <c r="C20" s="122" t="s">
        <v>58</v>
      </c>
      <c r="E20" s="125"/>
      <c r="F20" s="125"/>
      <c r="G20" s="228">
        <f>SUM(G9:G19)</f>
        <v>19943604.68</v>
      </c>
      <c r="H20" s="230"/>
      <c r="I20" s="228">
        <f>SUM(I9:I19)</f>
        <v>24811010.950000003</v>
      </c>
    </row>
    <row r="21" spans="2:9" s="119" customFormat="1" ht="24" customHeight="1">
      <c r="B21" s="122" t="s">
        <v>180</v>
      </c>
      <c r="C21" s="123"/>
      <c r="E21" s="125"/>
      <c r="F21" s="125"/>
      <c r="G21" s="230"/>
      <c r="H21" s="230"/>
      <c r="I21" s="227"/>
    </row>
    <row r="22" spans="3:9" s="119" customFormat="1" ht="24" customHeight="1">
      <c r="C22" s="243" t="s">
        <v>185</v>
      </c>
      <c r="D22" s="244"/>
      <c r="E22" s="117">
        <v>2</v>
      </c>
      <c r="F22" s="117"/>
      <c r="G22" s="229">
        <v>0</v>
      </c>
      <c r="H22" s="229"/>
      <c r="I22" s="227">
        <v>0</v>
      </c>
    </row>
    <row r="23" spans="3:9" s="119" customFormat="1" ht="24" customHeight="1">
      <c r="C23" s="243" t="s">
        <v>9</v>
      </c>
      <c r="D23" s="244"/>
      <c r="E23" s="117"/>
      <c r="F23" s="117"/>
      <c r="G23" s="229">
        <v>0</v>
      </c>
      <c r="H23" s="229"/>
      <c r="I23" s="227">
        <v>0</v>
      </c>
    </row>
    <row r="24" spans="3:9" s="119" customFormat="1" ht="24" customHeight="1">
      <c r="C24" s="120" t="s">
        <v>186</v>
      </c>
      <c r="E24" s="117">
        <v>14</v>
      </c>
      <c r="F24" s="117"/>
      <c r="G24" s="229">
        <f>'หมายเหตุ12-14'!C27</f>
        <v>0</v>
      </c>
      <c r="H24" s="229"/>
      <c r="I24" s="227">
        <f>'หมายเหตุ12-14'!E27</f>
        <v>0</v>
      </c>
    </row>
    <row r="25" spans="3:9" s="119" customFormat="1" ht="24" customHeight="1">
      <c r="C25" s="122" t="s">
        <v>59</v>
      </c>
      <c r="E25" s="117"/>
      <c r="F25" s="117"/>
      <c r="G25" s="228">
        <f>SUM(G22:G24)</f>
        <v>0</v>
      </c>
      <c r="H25" s="229"/>
      <c r="I25" s="228">
        <f>SUM(I22:I24)</f>
        <v>0</v>
      </c>
    </row>
    <row r="26" spans="1:9" s="119" customFormat="1" ht="24" customHeight="1" thickBot="1">
      <c r="A26" s="126" t="s">
        <v>10</v>
      </c>
      <c r="E26" s="125"/>
      <c r="F26" s="125"/>
      <c r="G26" s="414">
        <f>+G20+G25</f>
        <v>19943604.68</v>
      </c>
      <c r="H26" s="230"/>
      <c r="I26" s="414">
        <f>+I20+I25</f>
        <v>24811010.950000003</v>
      </c>
    </row>
    <row r="27" spans="1:9" s="119" customFormat="1" ht="24" customHeight="1" thickTop="1">
      <c r="A27" s="126"/>
      <c r="E27" s="125"/>
      <c r="F27" s="125"/>
      <c r="G27" s="230"/>
      <c r="H27" s="230"/>
      <c r="I27" s="227"/>
    </row>
    <row r="28" spans="1:9" s="120" customFormat="1" ht="24" customHeight="1">
      <c r="A28" s="123" t="s">
        <v>187</v>
      </c>
      <c r="B28" s="123"/>
      <c r="C28" s="123"/>
      <c r="D28" s="123"/>
      <c r="G28" s="231"/>
      <c r="H28" s="231"/>
      <c r="I28" s="231"/>
    </row>
    <row r="29" spans="1:4" s="120" customFormat="1" ht="24" customHeight="1">
      <c r="A29" s="123"/>
      <c r="B29" s="123"/>
      <c r="C29" s="123"/>
      <c r="D29" s="123"/>
    </row>
    <row r="30" spans="3:9" s="119" customFormat="1" ht="24" customHeight="1">
      <c r="C30" s="123"/>
      <c r="E30" s="117"/>
      <c r="F30" s="117"/>
      <c r="G30" s="117"/>
      <c r="H30" s="117"/>
      <c r="I30" s="121"/>
    </row>
    <row r="31" spans="1:9" s="119" customFormat="1" ht="24" customHeight="1">
      <c r="A31" s="586" t="str">
        <f>A1</f>
        <v>องค์การบริหารส่วนตำบลโพนทอง</v>
      </c>
      <c r="B31" s="586"/>
      <c r="C31" s="586"/>
      <c r="D31" s="586"/>
      <c r="E31" s="586"/>
      <c r="F31" s="586"/>
      <c r="G31" s="586"/>
      <c r="H31" s="586"/>
      <c r="I31" s="586"/>
    </row>
    <row r="32" spans="1:9" s="119" customFormat="1" ht="24" customHeight="1">
      <c r="A32" s="586" t="s">
        <v>0</v>
      </c>
      <c r="B32" s="586"/>
      <c r="C32" s="586"/>
      <c r="D32" s="586"/>
      <c r="E32" s="586"/>
      <c r="F32" s="586"/>
      <c r="G32" s="586"/>
      <c r="H32" s="586"/>
      <c r="I32" s="586"/>
    </row>
    <row r="33" spans="1:9" s="119" customFormat="1" ht="24" customHeight="1">
      <c r="A33" s="586" t="str">
        <f>+A3</f>
        <v>ณ วันที่ 30 กันยายน 2561</v>
      </c>
      <c r="B33" s="586"/>
      <c r="C33" s="586"/>
      <c r="D33" s="586"/>
      <c r="E33" s="586"/>
      <c r="F33" s="586"/>
      <c r="G33" s="586"/>
      <c r="H33" s="586"/>
      <c r="I33" s="586"/>
    </row>
    <row r="34" spans="1:9" s="119" customFormat="1" ht="24" customHeight="1">
      <c r="A34" s="585"/>
      <c r="B34" s="585"/>
      <c r="C34" s="585"/>
      <c r="D34" s="585"/>
      <c r="E34" s="585"/>
      <c r="F34" s="585"/>
      <c r="G34" s="585"/>
      <c r="H34" s="585"/>
      <c r="I34" s="585"/>
    </row>
    <row r="35" spans="1:9" s="119" customFormat="1" ht="24" customHeight="1">
      <c r="A35" s="116"/>
      <c r="B35" s="116"/>
      <c r="C35" s="116"/>
      <c r="D35" s="116"/>
      <c r="E35" s="117" t="s">
        <v>53</v>
      </c>
      <c r="F35" s="117"/>
      <c r="G35" s="118" t="s">
        <v>181</v>
      </c>
      <c r="H35" s="118"/>
      <c r="I35" s="224" t="s">
        <v>218</v>
      </c>
    </row>
    <row r="36" spans="1:9" s="119" customFormat="1" ht="24" customHeight="1" thickBot="1">
      <c r="A36" s="122" t="s">
        <v>12</v>
      </c>
      <c r="B36" s="120"/>
      <c r="E36" s="117">
        <v>2</v>
      </c>
      <c r="F36" s="117"/>
      <c r="G36" s="415">
        <f>+งบทรัพย์สิน!B33</f>
        <v>10449379.8</v>
      </c>
      <c r="H36" s="416"/>
      <c r="I36" s="415">
        <f>+งบทรัพย์สิน!C33</f>
        <v>10063579.8</v>
      </c>
    </row>
    <row r="37" spans="1:9" s="119" customFormat="1" ht="24" customHeight="1" thickTop="1">
      <c r="A37" s="126" t="s">
        <v>11</v>
      </c>
      <c r="B37" s="123"/>
      <c r="C37" s="120"/>
      <c r="E37" s="117"/>
      <c r="F37" s="117"/>
      <c r="G37" s="229"/>
      <c r="H37" s="229"/>
      <c r="I37" s="227"/>
    </row>
    <row r="38" spans="1:9" s="119" customFormat="1" ht="24" customHeight="1">
      <c r="A38" s="123"/>
      <c r="B38" s="122" t="s">
        <v>60</v>
      </c>
      <c r="C38" s="120"/>
      <c r="E38" s="117"/>
      <c r="F38" s="117"/>
      <c r="G38" s="229"/>
      <c r="H38" s="229"/>
      <c r="I38" s="227"/>
    </row>
    <row r="39" spans="1:9" s="119" customFormat="1" ht="24" customHeight="1">
      <c r="A39" s="123"/>
      <c r="B39" s="122"/>
      <c r="C39" s="123" t="s">
        <v>14</v>
      </c>
      <c r="E39" s="117">
        <v>15</v>
      </c>
      <c r="F39" s="117"/>
      <c r="G39" s="412">
        <f>'หมายเหตุ 15-18'!G19</f>
        <v>1038480</v>
      </c>
      <c r="H39" s="229"/>
      <c r="I39" s="227">
        <f>'หมายเหตุ 15-18'!G42</f>
        <v>5290124.84</v>
      </c>
    </row>
    <row r="40" spans="1:9" s="119" customFormat="1" ht="24" customHeight="1">
      <c r="A40" s="123"/>
      <c r="B40" s="122"/>
      <c r="C40" s="123" t="s">
        <v>15</v>
      </c>
      <c r="E40" s="117">
        <v>16</v>
      </c>
      <c r="F40" s="117"/>
      <c r="G40" s="412">
        <f>'หมายเหตุ 15-18'!G50</f>
        <v>0</v>
      </c>
      <c r="H40" s="229"/>
      <c r="I40" s="227">
        <f>'หมายเหตุ 15-18'!G56</f>
        <v>0</v>
      </c>
    </row>
    <row r="41" spans="1:9" s="119" customFormat="1" ht="24" customHeight="1">
      <c r="A41" s="123"/>
      <c r="B41" s="122"/>
      <c r="C41" s="243" t="s">
        <v>16</v>
      </c>
      <c r="E41" s="117"/>
      <c r="F41" s="117"/>
      <c r="G41" s="412">
        <v>0</v>
      </c>
      <c r="H41" s="229"/>
      <c r="I41" s="227">
        <v>0</v>
      </c>
    </row>
    <row r="42" spans="1:9" s="119" customFormat="1" ht="24" customHeight="1">
      <c r="A42" s="123"/>
      <c r="B42" s="122"/>
      <c r="C42" s="123" t="s">
        <v>13</v>
      </c>
      <c r="E42" s="117">
        <v>17</v>
      </c>
      <c r="F42" s="117"/>
      <c r="G42" s="412">
        <f>'หมายเหตุ 15-18'!E80</f>
        <v>1938698.25</v>
      </c>
      <c r="H42" s="229"/>
      <c r="I42" s="227">
        <f>'หมายเหตุ 15-18'!G80</f>
        <v>1972252.62</v>
      </c>
    </row>
    <row r="43" spans="3:9" s="119" customFormat="1" ht="24" customHeight="1">
      <c r="C43" s="120" t="s">
        <v>18</v>
      </c>
      <c r="E43" s="117">
        <v>18</v>
      </c>
      <c r="F43" s="117"/>
      <c r="G43" s="229">
        <f>'หมายเหตุ 15-18'!E85</f>
        <v>0</v>
      </c>
      <c r="H43" s="229"/>
      <c r="I43" s="227">
        <f>'หมายเหตุ 15-18'!G85</f>
        <v>0</v>
      </c>
    </row>
    <row r="44" spans="3:9" s="119" customFormat="1" ht="24" customHeight="1">
      <c r="C44" s="122" t="s">
        <v>61</v>
      </c>
      <c r="E44" s="117"/>
      <c r="F44" s="117"/>
      <c r="G44" s="228">
        <f>SUM(G39:G43)</f>
        <v>2977178.25</v>
      </c>
      <c r="H44" s="229"/>
      <c r="I44" s="228">
        <f>SUM(I39:I43)</f>
        <v>7262377.46</v>
      </c>
    </row>
    <row r="45" spans="2:9" s="119" customFormat="1" ht="24" customHeight="1">
      <c r="B45" s="122" t="s">
        <v>62</v>
      </c>
      <c r="E45" s="117"/>
      <c r="F45" s="117"/>
      <c r="G45" s="229"/>
      <c r="H45" s="229"/>
      <c r="I45" s="227"/>
    </row>
    <row r="46" spans="3:9" s="119" customFormat="1" ht="24" customHeight="1">
      <c r="C46" s="123" t="s">
        <v>17</v>
      </c>
      <c r="E46" s="117">
        <v>19</v>
      </c>
      <c r="F46" s="117"/>
      <c r="G46" s="229">
        <f>'หมายเหตุ 19-20'!F11</f>
        <v>0</v>
      </c>
      <c r="H46" s="229"/>
      <c r="I46" s="227">
        <f>'หมายเหตุ 19-20'!F19</f>
        <v>0</v>
      </c>
    </row>
    <row r="47" spans="3:9" s="119" customFormat="1" ht="24" customHeight="1">
      <c r="C47" s="119" t="s">
        <v>19</v>
      </c>
      <c r="E47" s="117">
        <v>20</v>
      </c>
      <c r="F47" s="117"/>
      <c r="G47" s="229"/>
      <c r="H47" s="229"/>
      <c r="I47" s="227"/>
    </row>
    <row r="48" spans="3:9" s="119" customFormat="1" ht="24" customHeight="1">
      <c r="C48" s="122" t="s">
        <v>63</v>
      </c>
      <c r="E48" s="117"/>
      <c r="F48" s="117"/>
      <c r="G48" s="228">
        <f>SUM(G46:G47)</f>
        <v>0</v>
      </c>
      <c r="H48" s="229"/>
      <c r="I48" s="228">
        <f>SUM(I46:I47)</f>
        <v>0</v>
      </c>
    </row>
    <row r="49" spans="2:9" s="119" customFormat="1" ht="24" customHeight="1">
      <c r="B49" s="127" t="s">
        <v>20</v>
      </c>
      <c r="E49" s="117"/>
      <c r="F49" s="117"/>
      <c r="G49" s="229"/>
      <c r="H49" s="229"/>
      <c r="I49" s="227"/>
    </row>
    <row r="50" spans="2:9" s="119" customFormat="1" ht="24" customHeight="1">
      <c r="B50" s="127"/>
      <c r="E50" s="117"/>
      <c r="F50" s="117"/>
      <c r="G50" s="229"/>
      <c r="H50" s="229"/>
      <c r="I50" s="227"/>
    </row>
    <row r="51" spans="1:9" s="119" customFormat="1" ht="24" customHeight="1">
      <c r="A51" s="127" t="s">
        <v>21</v>
      </c>
      <c r="E51" s="117"/>
      <c r="F51" s="117"/>
      <c r="G51" s="229"/>
      <c r="H51" s="229"/>
      <c r="I51" s="227"/>
    </row>
    <row r="52" spans="3:9" s="119" customFormat="1" ht="24" customHeight="1">
      <c r="C52" s="123" t="s">
        <v>21</v>
      </c>
      <c r="E52" s="117">
        <v>21</v>
      </c>
      <c r="F52" s="117"/>
      <c r="G52" s="412">
        <f>+'หมายเหตุ 21'!F20</f>
        <v>7892355.167500004</v>
      </c>
      <c r="H52" s="229"/>
      <c r="I52" s="227">
        <f>+'หมายเหตุ 21'!I20</f>
        <v>9045898.9</v>
      </c>
    </row>
    <row r="53" spans="3:9" s="119" customFormat="1" ht="24" customHeight="1">
      <c r="C53" s="123" t="s">
        <v>22</v>
      </c>
      <c r="E53" s="117">
        <v>22</v>
      </c>
      <c r="F53" s="117"/>
      <c r="G53" s="412">
        <f>8502734.59+571336.67</f>
        <v>9074071.26</v>
      </c>
      <c r="H53" s="229"/>
      <c r="I53" s="227">
        <v>8502734.59</v>
      </c>
    </row>
    <row r="54" spans="3:9" s="119" customFormat="1" ht="24" customHeight="1">
      <c r="C54" s="126" t="s">
        <v>23</v>
      </c>
      <c r="E54" s="117"/>
      <c r="F54" s="117"/>
      <c r="G54" s="228">
        <f>SUM(G52:G53)</f>
        <v>16966426.427500002</v>
      </c>
      <c r="H54" s="229"/>
      <c r="I54" s="228">
        <f>SUM(I52:I53)</f>
        <v>17548633.490000002</v>
      </c>
    </row>
    <row r="55" spans="1:12" s="119" customFormat="1" ht="24" customHeight="1" thickBot="1">
      <c r="A55" s="126" t="s">
        <v>24</v>
      </c>
      <c r="C55" s="123"/>
      <c r="E55" s="125"/>
      <c r="F55" s="125"/>
      <c r="G55" s="414">
        <f>+G44+G48+G54</f>
        <v>19943604.677500002</v>
      </c>
      <c r="H55" s="230"/>
      <c r="I55" s="414">
        <f>+I44+I48+I54</f>
        <v>24811010.950000003</v>
      </c>
      <c r="L55" s="411"/>
    </row>
    <row r="56" spans="1:9" s="119" customFormat="1" ht="24" customHeight="1" thickTop="1">
      <c r="A56" s="126"/>
      <c r="C56" s="123"/>
      <c r="E56" s="125"/>
      <c r="F56" s="125"/>
      <c r="G56" s="125"/>
      <c r="H56" s="125"/>
      <c r="I56" s="121"/>
    </row>
    <row r="57" spans="1:4" s="120" customFormat="1" ht="23.25">
      <c r="A57" s="123" t="s">
        <v>187</v>
      </c>
      <c r="B57" s="123"/>
      <c r="C57" s="123"/>
      <c r="D57" s="123"/>
    </row>
    <row r="58" spans="1:4" s="120" customFormat="1" ht="23.25">
      <c r="A58" s="123"/>
      <c r="B58" s="123"/>
      <c r="C58" s="123"/>
      <c r="D58" s="123"/>
    </row>
    <row r="59" spans="1:4" s="120" customFormat="1" ht="23.25">
      <c r="A59" s="123"/>
      <c r="B59" s="123"/>
      <c r="C59" s="123"/>
      <c r="D59" s="123"/>
    </row>
    <row r="60" spans="1:8" s="75" customFormat="1" ht="24.75" customHeight="1">
      <c r="A60" s="2"/>
      <c r="B60" s="2" t="s">
        <v>700</v>
      </c>
      <c r="C60" s="2"/>
      <c r="D60" s="2"/>
      <c r="E60" s="75" t="s">
        <v>702</v>
      </c>
      <c r="H60" s="75" t="s">
        <v>699</v>
      </c>
    </row>
    <row r="61" spans="2:9" s="87" customFormat="1" ht="21">
      <c r="B61" s="87" t="s">
        <v>701</v>
      </c>
      <c r="E61" s="550" t="s">
        <v>372</v>
      </c>
      <c r="F61" s="550"/>
      <c r="G61" s="550"/>
      <c r="H61" s="550" t="s">
        <v>343</v>
      </c>
      <c r="I61" s="223"/>
    </row>
  </sheetData>
  <sheetProtection/>
  <mergeCells count="8">
    <mergeCell ref="A1:I1"/>
    <mergeCell ref="A2:I2"/>
    <mergeCell ref="A3:I3"/>
    <mergeCell ref="A4:I4"/>
    <mergeCell ref="A34:I34"/>
    <mergeCell ref="A31:I31"/>
    <mergeCell ref="A32:I32"/>
    <mergeCell ref="A33:I33"/>
  </mergeCells>
  <printOptions/>
  <pageMargins left="0.433070866141732" right="0" top="0.748031496062992" bottom="0" header="0.31496062992126" footer="0.31496062992126"/>
  <pageSetup horizontalDpi="300" verticalDpi="300" orientation="portrait" paperSize="9" scale="95" r:id="rId1"/>
  <rowBreaks count="1" manualBreakCount="1">
    <brk id="29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18"/>
  <sheetViews>
    <sheetView view="pageBreakPreview" zoomScale="110" zoomScaleSheetLayoutView="110" zoomScalePageLayoutView="0" workbookViewId="0" topLeftCell="A1">
      <selection activeCell="I27" sqref="I27"/>
    </sheetView>
  </sheetViews>
  <sheetFormatPr defaultColWidth="9.140625" defaultRowHeight="15"/>
  <cols>
    <col min="1" max="1" width="9.00390625" style="55" customWidth="1"/>
    <col min="2" max="2" width="4.00390625" style="55" customWidth="1"/>
    <col min="3" max="7" width="9.00390625" style="55" customWidth="1"/>
    <col min="8" max="8" width="11.28125" style="55" customWidth="1"/>
    <col min="9" max="9" width="19.8515625" style="55" customWidth="1"/>
    <col min="10" max="16384" width="9.00390625" style="55" customWidth="1"/>
  </cols>
  <sheetData>
    <row r="1" spans="1:10" ht="23.25">
      <c r="A1" s="587" t="str">
        <f>+งบแสดงฐานะการเงิน!A1</f>
        <v>องค์การบริหารส่วนตำบลโพนทอง</v>
      </c>
      <c r="B1" s="587"/>
      <c r="C1" s="587"/>
      <c r="D1" s="587"/>
      <c r="E1" s="587"/>
      <c r="F1" s="587"/>
      <c r="G1" s="587"/>
      <c r="H1" s="587"/>
      <c r="I1" s="587"/>
      <c r="J1" s="241"/>
    </row>
    <row r="2" spans="1:10" ht="23.25">
      <c r="A2" s="587" t="s">
        <v>65</v>
      </c>
      <c r="B2" s="587"/>
      <c r="C2" s="587"/>
      <c r="D2" s="587"/>
      <c r="E2" s="587"/>
      <c r="F2" s="587"/>
      <c r="G2" s="587"/>
      <c r="H2" s="587"/>
      <c r="I2" s="587"/>
      <c r="J2" s="241"/>
    </row>
    <row r="3" spans="1:10" ht="23.25" customHeight="1">
      <c r="A3" s="588" t="s">
        <v>193</v>
      </c>
      <c r="B3" s="588"/>
      <c r="C3" s="588"/>
      <c r="D3" s="588"/>
      <c r="E3" s="588"/>
      <c r="F3" s="588"/>
      <c r="G3" s="588"/>
      <c r="H3" s="588"/>
      <c r="I3" s="588"/>
      <c r="J3" s="242"/>
    </row>
    <row r="4" s="128" customFormat="1" ht="28.5" customHeight="1">
      <c r="A4" s="77" t="s">
        <v>176</v>
      </c>
    </row>
    <row r="5" s="128" customFormat="1" ht="28.5" customHeight="1">
      <c r="B5" s="128" t="s">
        <v>693</v>
      </c>
    </row>
    <row r="6" s="128" customFormat="1" ht="28.5" customHeight="1">
      <c r="A6" s="128" t="s">
        <v>694</v>
      </c>
    </row>
    <row r="7" s="77" customFormat="1" ht="28.5" customHeight="1">
      <c r="A7" s="77" t="s">
        <v>177</v>
      </c>
    </row>
    <row r="8" s="128" customFormat="1" ht="28.5" customHeight="1">
      <c r="B8" s="128" t="s">
        <v>178</v>
      </c>
    </row>
    <row r="9" spans="3:9" s="128" customFormat="1" ht="28.5" customHeight="1">
      <c r="C9" s="129" t="s">
        <v>188</v>
      </c>
      <c r="D9" s="129"/>
      <c r="E9" s="129"/>
      <c r="F9" s="129"/>
      <c r="G9" s="129"/>
      <c r="H9" s="129"/>
      <c r="I9" s="129"/>
    </row>
    <row r="10" s="128" customFormat="1" ht="28.5" customHeight="1">
      <c r="A10" s="128" t="s">
        <v>189</v>
      </c>
    </row>
    <row r="11" s="128" customFormat="1" ht="28.5" customHeight="1">
      <c r="A11" s="128" t="s">
        <v>190</v>
      </c>
    </row>
    <row r="12" ht="28.5" customHeight="1">
      <c r="A12" s="128" t="s">
        <v>191</v>
      </c>
    </row>
    <row r="13" ht="23.25">
      <c r="B13" s="128" t="s">
        <v>192</v>
      </c>
    </row>
    <row r="14" spans="1:4" s="95" customFormat="1" ht="18.75">
      <c r="A14" s="94"/>
      <c r="B14" s="94"/>
      <c r="C14" s="94"/>
      <c r="D14" s="94"/>
    </row>
    <row r="15" spans="1:4" s="95" customFormat="1" ht="24.75" customHeight="1">
      <c r="A15" s="94"/>
      <c r="B15" s="94"/>
      <c r="C15" s="94"/>
      <c r="D15" s="94"/>
    </row>
    <row r="17" spans="1:9" ht="21">
      <c r="A17" s="55" t="s">
        <v>338</v>
      </c>
      <c r="E17" s="558" t="s">
        <v>339</v>
      </c>
      <c r="F17" s="558"/>
      <c r="G17" s="558"/>
      <c r="H17" s="558" t="s">
        <v>342</v>
      </c>
      <c r="I17" s="558"/>
    </row>
    <row r="18" spans="1:9" s="87" customFormat="1" ht="21">
      <c r="A18" s="87" t="s">
        <v>703</v>
      </c>
      <c r="E18" s="589" t="s">
        <v>372</v>
      </c>
      <c r="F18" s="589"/>
      <c r="G18" s="589"/>
      <c r="H18" s="589" t="s">
        <v>343</v>
      </c>
      <c r="I18" s="589"/>
    </row>
  </sheetData>
  <sheetProtection/>
  <mergeCells count="7">
    <mergeCell ref="A1:I1"/>
    <mergeCell ref="A2:I2"/>
    <mergeCell ref="A3:I3"/>
    <mergeCell ref="E18:G18"/>
    <mergeCell ref="E17:G17"/>
    <mergeCell ref="H17:I17"/>
    <mergeCell ref="H18:I18"/>
  </mergeCells>
  <printOptions horizontalCentered="1"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3"/>
  <sheetViews>
    <sheetView zoomScaleSheetLayoutView="82" zoomScalePageLayoutView="0" workbookViewId="0" topLeftCell="A1">
      <selection activeCell="C30" sqref="C30"/>
    </sheetView>
  </sheetViews>
  <sheetFormatPr defaultColWidth="9.140625" defaultRowHeight="15"/>
  <cols>
    <col min="1" max="1" width="28.7109375" style="4" customWidth="1"/>
    <col min="2" max="2" width="18.00390625" style="4" customWidth="1"/>
    <col min="3" max="3" width="17.140625" style="4" customWidth="1"/>
    <col min="4" max="4" width="17.00390625" style="4" customWidth="1"/>
    <col min="5" max="5" width="16.140625" style="4" customWidth="1"/>
    <col min="6" max="6" width="16.421875" style="239" customWidth="1"/>
    <col min="7" max="7" width="9.00390625" style="4" customWidth="1"/>
    <col min="8" max="8" width="12.57421875" style="4" bestFit="1" customWidth="1"/>
    <col min="9" max="16384" width="9.00390625" style="4" customWidth="1"/>
  </cols>
  <sheetData>
    <row r="1" spans="1:6" ht="21">
      <c r="A1" s="594" t="str">
        <f>งบแสดงฐานะการเงิน!A1</f>
        <v>องค์การบริหารส่วนตำบลโพนทอง</v>
      </c>
      <c r="B1" s="594"/>
      <c r="C1" s="594"/>
      <c r="D1" s="594"/>
      <c r="E1" s="594"/>
      <c r="F1" s="594"/>
    </row>
    <row r="2" spans="1:6" ht="21">
      <c r="A2" s="594" t="s">
        <v>25</v>
      </c>
      <c r="B2" s="594"/>
      <c r="C2" s="594"/>
      <c r="D2" s="594"/>
      <c r="E2" s="594"/>
      <c r="F2" s="594"/>
    </row>
    <row r="3" spans="1:6" ht="21">
      <c r="A3" s="594" t="s">
        <v>182</v>
      </c>
      <c r="B3" s="594"/>
      <c r="C3" s="594"/>
      <c r="D3" s="594"/>
      <c r="E3" s="594"/>
      <c r="F3" s="594"/>
    </row>
    <row r="4" spans="1:6" ht="21">
      <c r="A4" s="130" t="s">
        <v>172</v>
      </c>
      <c r="B4" s="130"/>
      <c r="F4" s="146"/>
    </row>
    <row r="5" spans="1:6" ht="24" customHeight="1">
      <c r="A5" s="595" t="s">
        <v>35</v>
      </c>
      <c r="B5" s="596" t="s">
        <v>37</v>
      </c>
      <c r="C5" s="597"/>
      <c r="D5" s="595" t="s">
        <v>39</v>
      </c>
      <c r="E5" s="595"/>
      <c r="F5" s="595"/>
    </row>
    <row r="6" spans="1:6" ht="23.25" customHeight="1">
      <c r="A6" s="595"/>
      <c r="B6" s="598"/>
      <c r="C6" s="599"/>
      <c r="D6" s="131" t="s">
        <v>64</v>
      </c>
      <c r="E6" s="591" t="s">
        <v>30</v>
      </c>
      <c r="F6" s="592"/>
    </row>
    <row r="7" spans="1:6" ht="23.25" customHeight="1">
      <c r="A7" s="132"/>
      <c r="B7" s="133">
        <v>2561</v>
      </c>
      <c r="C7" s="133">
        <v>2560</v>
      </c>
      <c r="D7" s="134"/>
      <c r="E7" s="131">
        <v>2561</v>
      </c>
      <c r="F7" s="131">
        <v>2560</v>
      </c>
    </row>
    <row r="8" spans="1:6" ht="21">
      <c r="A8" s="135" t="s">
        <v>34</v>
      </c>
      <c r="B8" s="136"/>
      <c r="C8" s="136"/>
      <c r="D8" s="135"/>
      <c r="E8" s="135"/>
      <c r="F8" s="234"/>
    </row>
    <row r="9" spans="1:6" ht="21">
      <c r="A9" s="138" t="s">
        <v>196</v>
      </c>
      <c r="B9" s="139">
        <v>0</v>
      </c>
      <c r="C9" s="139">
        <v>0</v>
      </c>
      <c r="D9" s="140" t="s">
        <v>26</v>
      </c>
      <c r="E9" s="235">
        <f>7468061+85800+300000</f>
        <v>7853861</v>
      </c>
      <c r="F9" s="235">
        <f>7468061</f>
        <v>7468061</v>
      </c>
    </row>
    <row r="10" spans="1:6" ht="21">
      <c r="A10" s="138" t="s">
        <v>197</v>
      </c>
      <c r="B10" s="139">
        <f>4967525+300000</f>
        <v>5267525</v>
      </c>
      <c r="C10" s="139">
        <v>4967525</v>
      </c>
      <c r="D10" s="140" t="s">
        <v>52</v>
      </c>
      <c r="E10" s="235">
        <v>2318093.8</v>
      </c>
      <c r="F10" s="235">
        <v>2318093.8</v>
      </c>
    </row>
    <row r="11" spans="1:6" ht="21">
      <c r="A11" s="147" t="s">
        <v>195</v>
      </c>
      <c r="B11" s="139"/>
      <c r="C11" s="139"/>
      <c r="D11" s="140" t="s">
        <v>22</v>
      </c>
      <c r="E11" s="235">
        <v>0</v>
      </c>
      <c r="F11" s="235">
        <v>0</v>
      </c>
    </row>
    <row r="12" spans="1:9" ht="21">
      <c r="A12" s="138"/>
      <c r="B12" s="139"/>
      <c r="C12" s="139"/>
      <c r="D12" s="140" t="s">
        <v>27</v>
      </c>
      <c r="E12" s="235">
        <v>0</v>
      </c>
      <c r="F12" s="235">
        <v>0</v>
      </c>
      <c r="I12" s="141"/>
    </row>
    <row r="13" spans="1:6" ht="21">
      <c r="A13" s="138"/>
      <c r="B13" s="139"/>
      <c r="C13" s="139"/>
      <c r="D13" s="140" t="s">
        <v>194</v>
      </c>
      <c r="E13" s="235">
        <v>24425</v>
      </c>
      <c r="F13" s="235">
        <v>24425</v>
      </c>
    </row>
    <row r="14" spans="1:6" ht="21">
      <c r="A14" s="138"/>
      <c r="B14" s="139"/>
      <c r="C14" s="139"/>
      <c r="D14" s="140" t="s">
        <v>535</v>
      </c>
      <c r="E14" s="235">
        <v>120000</v>
      </c>
      <c r="F14" s="235">
        <v>120000</v>
      </c>
    </row>
    <row r="15" spans="1:6" ht="21">
      <c r="A15" s="138"/>
      <c r="B15" s="139"/>
      <c r="C15" s="139"/>
      <c r="D15" s="140" t="s">
        <v>536</v>
      </c>
      <c r="E15" s="235">
        <v>133000</v>
      </c>
      <c r="F15" s="235">
        <v>133000</v>
      </c>
    </row>
    <row r="16" spans="1:6" ht="21">
      <c r="A16" s="138"/>
      <c r="B16" s="139"/>
      <c r="C16" s="139"/>
      <c r="D16" s="147" t="s">
        <v>195</v>
      </c>
      <c r="E16" s="240"/>
      <c r="F16" s="235"/>
    </row>
    <row r="17" spans="1:6" ht="21">
      <c r="A17" s="135" t="s">
        <v>36</v>
      </c>
      <c r="B17" s="135"/>
      <c r="C17" s="135"/>
      <c r="D17" s="135"/>
      <c r="E17" s="137"/>
      <c r="F17" s="235"/>
    </row>
    <row r="18" spans="1:6" ht="21">
      <c r="A18" s="138" t="s">
        <v>198</v>
      </c>
      <c r="B18" s="139">
        <f>1590532.8+55800</f>
        <v>1646332.8</v>
      </c>
      <c r="C18" s="139">
        <v>1590532.8</v>
      </c>
      <c r="D18" s="135"/>
      <c r="E18" s="137"/>
      <c r="F18" s="235"/>
    </row>
    <row r="19" spans="1:6" ht="21">
      <c r="A19" s="138" t="s">
        <v>537</v>
      </c>
      <c r="B19" s="139">
        <v>67020</v>
      </c>
      <c r="C19" s="139">
        <v>67020</v>
      </c>
      <c r="D19" s="135"/>
      <c r="E19" s="137"/>
      <c r="F19" s="235"/>
    </row>
    <row r="20" spans="1:6" ht="21">
      <c r="A20" s="138" t="s">
        <v>538</v>
      </c>
      <c r="B20" s="139">
        <v>690155</v>
      </c>
      <c r="C20" s="139">
        <v>690155</v>
      </c>
      <c r="D20" s="135"/>
      <c r="E20" s="137"/>
      <c r="F20" s="235"/>
    </row>
    <row r="21" spans="1:6" ht="21">
      <c r="A21" s="138" t="s">
        <v>539</v>
      </c>
      <c r="B21" s="139">
        <v>250978</v>
      </c>
      <c r="C21" s="139">
        <v>250978</v>
      </c>
      <c r="D21" s="135"/>
      <c r="E21" s="137"/>
      <c r="F21" s="235"/>
    </row>
    <row r="22" spans="1:6" ht="21">
      <c r="A22" s="138" t="s">
        <v>540</v>
      </c>
      <c r="B22" s="139">
        <v>724500</v>
      </c>
      <c r="C22" s="139">
        <v>724500</v>
      </c>
      <c r="D22" s="135"/>
      <c r="E22" s="137"/>
      <c r="F22" s="235"/>
    </row>
    <row r="23" spans="1:6" ht="21">
      <c r="A23" s="138" t="s">
        <v>541</v>
      </c>
      <c r="B23" s="139">
        <v>101000</v>
      </c>
      <c r="C23" s="139">
        <v>101000</v>
      </c>
      <c r="D23" s="135"/>
      <c r="E23" s="137"/>
      <c r="F23" s="235"/>
    </row>
    <row r="24" spans="1:6" ht="21">
      <c r="A24" s="138" t="s">
        <v>542</v>
      </c>
      <c r="B24" s="139">
        <f>56400+8000</f>
        <v>64400</v>
      </c>
      <c r="C24" s="139">
        <v>56400</v>
      </c>
      <c r="D24" s="135"/>
      <c r="E24" s="137"/>
      <c r="F24" s="234"/>
    </row>
    <row r="25" spans="1:6" ht="21">
      <c r="A25" s="138" t="s">
        <v>543</v>
      </c>
      <c r="B25" s="139">
        <f>698202+16000</f>
        <v>714202</v>
      </c>
      <c r="C25" s="139">
        <v>698202</v>
      </c>
      <c r="D25" s="135"/>
      <c r="E25" s="137"/>
      <c r="F25" s="234"/>
    </row>
    <row r="26" spans="1:6" ht="21">
      <c r="A26" s="138" t="s">
        <v>544</v>
      </c>
      <c r="B26" s="139">
        <v>110000</v>
      </c>
      <c r="C26" s="139">
        <v>110000</v>
      </c>
      <c r="D26" s="135"/>
      <c r="E26" s="137"/>
      <c r="F26" s="234"/>
    </row>
    <row r="27" spans="1:6" ht="21">
      <c r="A27" s="138" t="s">
        <v>545</v>
      </c>
      <c r="B27" s="139">
        <v>58165</v>
      </c>
      <c r="C27" s="139">
        <v>58165</v>
      </c>
      <c r="D27" s="135"/>
      <c r="E27" s="137"/>
      <c r="F27" s="234"/>
    </row>
    <row r="28" spans="1:6" ht="21">
      <c r="A28" s="138" t="s">
        <v>199</v>
      </c>
      <c r="B28" s="139">
        <v>150700</v>
      </c>
      <c r="C28" s="139">
        <v>150700</v>
      </c>
      <c r="D28" s="135"/>
      <c r="E28" s="137"/>
      <c r="F28" s="234"/>
    </row>
    <row r="29" spans="1:6" ht="21">
      <c r="A29" s="138" t="s">
        <v>546</v>
      </c>
      <c r="B29" s="139">
        <v>120000</v>
      </c>
      <c r="C29" s="139">
        <v>120000</v>
      </c>
      <c r="D29" s="135"/>
      <c r="E29" s="137"/>
      <c r="F29" s="234"/>
    </row>
    <row r="30" spans="1:6" ht="21">
      <c r="A30" s="138" t="s">
        <v>547</v>
      </c>
      <c r="B30" s="139">
        <v>39200</v>
      </c>
      <c r="C30" s="139">
        <v>39200</v>
      </c>
      <c r="D30" s="135"/>
      <c r="E30" s="137"/>
      <c r="F30" s="234"/>
    </row>
    <row r="31" spans="1:6" ht="21">
      <c r="A31" s="138" t="s">
        <v>548</v>
      </c>
      <c r="B31" s="139">
        <f>439202+6000</f>
        <v>445202</v>
      </c>
      <c r="C31" s="139">
        <v>439202</v>
      </c>
      <c r="D31" s="135"/>
      <c r="E31" s="137"/>
      <c r="F31" s="234"/>
    </row>
    <row r="32" spans="1:6" ht="21">
      <c r="A32" s="147" t="s">
        <v>195</v>
      </c>
      <c r="B32" s="139"/>
      <c r="C32" s="139"/>
      <c r="D32" s="135"/>
      <c r="E32" s="137"/>
      <c r="F32" s="234"/>
    </row>
    <row r="33" spans="1:8" ht="21.75" thickBot="1">
      <c r="A33" s="148" t="s">
        <v>68</v>
      </c>
      <c r="B33" s="142">
        <f>SUM(B9:B32)</f>
        <v>10449379.8</v>
      </c>
      <c r="C33" s="142">
        <f>SUM(C9:C32)</f>
        <v>10063579.8</v>
      </c>
      <c r="D33" s="149"/>
      <c r="E33" s="143">
        <f>SUM(E9:E32)</f>
        <v>10449379.8</v>
      </c>
      <c r="F33" s="236">
        <f>SUM(F9:F32)</f>
        <v>10063579.8</v>
      </c>
      <c r="H33" s="145">
        <f>+B33-E33</f>
        <v>0</v>
      </c>
    </row>
    <row r="34" spans="1:6" ht="21.75" thickTop="1">
      <c r="A34" s="144"/>
      <c r="B34" s="144"/>
      <c r="C34" s="145"/>
      <c r="D34" s="146"/>
      <c r="E34" s="146"/>
      <c r="F34" s="237"/>
    </row>
    <row r="35" spans="1:6" s="122" customFormat="1" ht="23.25">
      <c r="A35" s="150" t="s">
        <v>200</v>
      </c>
      <c r="B35" s="151"/>
      <c r="C35" s="152"/>
      <c r="D35" s="153"/>
      <c r="E35" s="153"/>
      <c r="F35" s="238"/>
    </row>
    <row r="36" spans="1:6" s="122" customFormat="1" ht="23.25">
      <c r="A36" s="154" t="s">
        <v>201</v>
      </c>
      <c r="B36" s="151"/>
      <c r="C36" s="152"/>
      <c r="D36" s="153"/>
      <c r="E36" s="153"/>
      <c r="F36" s="238"/>
    </row>
    <row r="37" spans="1:6" s="120" customFormat="1" ht="23.25">
      <c r="A37" s="593" t="s">
        <v>202</v>
      </c>
      <c r="B37" s="593"/>
      <c r="C37" s="593"/>
      <c r="D37" s="593"/>
      <c r="E37" s="593"/>
      <c r="F37" s="593"/>
    </row>
    <row r="38" spans="1:6" s="120" customFormat="1" ht="23.25">
      <c r="A38" s="593" t="s">
        <v>203</v>
      </c>
      <c r="B38" s="593"/>
      <c r="C38" s="593"/>
      <c r="D38" s="593"/>
      <c r="E38" s="593"/>
      <c r="F38" s="593"/>
    </row>
    <row r="39" spans="1:6" s="122" customFormat="1" ht="23.25">
      <c r="A39" s="120" t="s">
        <v>204</v>
      </c>
      <c r="F39" s="238"/>
    </row>
    <row r="40" spans="1:6" s="122" customFormat="1" ht="23.25">
      <c r="A40" s="120"/>
      <c r="F40" s="238"/>
    </row>
    <row r="42" spans="1:6" s="75" customFormat="1" ht="21">
      <c r="A42" s="551" t="s">
        <v>338</v>
      </c>
      <c r="B42" s="590" t="s">
        <v>339</v>
      </c>
      <c r="C42" s="590"/>
      <c r="D42" s="590" t="s">
        <v>342</v>
      </c>
      <c r="E42" s="590"/>
      <c r="F42" s="590"/>
    </row>
    <row r="43" spans="1:6" s="75" customFormat="1" ht="21">
      <c r="A43" s="551" t="s">
        <v>340</v>
      </c>
      <c r="B43" s="590" t="s">
        <v>372</v>
      </c>
      <c r="C43" s="590"/>
      <c r="D43" s="590" t="s">
        <v>343</v>
      </c>
      <c r="E43" s="590"/>
      <c r="F43" s="590"/>
    </row>
  </sheetData>
  <sheetProtection/>
  <mergeCells count="13">
    <mergeCell ref="A1:F1"/>
    <mergeCell ref="A5:A6"/>
    <mergeCell ref="D5:F5"/>
    <mergeCell ref="A3:F3"/>
    <mergeCell ref="A2:F2"/>
    <mergeCell ref="B5:C6"/>
    <mergeCell ref="B42:C42"/>
    <mergeCell ref="B43:C43"/>
    <mergeCell ref="D42:F42"/>
    <mergeCell ref="D43:F43"/>
    <mergeCell ref="E6:F6"/>
    <mergeCell ref="A37:F37"/>
    <mergeCell ref="A38:F38"/>
  </mergeCells>
  <printOptions/>
  <pageMargins left="0.25" right="0.25" top="0.75" bottom="0.75" header="0.3" footer="0.3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9"/>
  <sheetViews>
    <sheetView view="pageBreakPreview" zoomScaleSheetLayoutView="100" workbookViewId="0" topLeftCell="A40">
      <selection activeCell="D54" sqref="D54:F54"/>
    </sheetView>
  </sheetViews>
  <sheetFormatPr defaultColWidth="9.140625" defaultRowHeight="15"/>
  <cols>
    <col min="1" max="1" width="12.140625" style="3" customWidth="1"/>
    <col min="2" max="2" width="23.421875" style="3" customWidth="1"/>
    <col min="3" max="3" width="25.421875" style="3" customWidth="1"/>
    <col min="4" max="4" width="13.140625" style="3" customWidth="1"/>
    <col min="5" max="5" width="2.00390625" style="3" customWidth="1"/>
    <col min="6" max="6" width="13.421875" style="3" customWidth="1"/>
    <col min="7" max="7" width="9.00390625" style="3" customWidth="1"/>
    <col min="8" max="8" width="13.421875" style="3" customWidth="1"/>
    <col min="9" max="16384" width="9.00390625" style="3" customWidth="1"/>
  </cols>
  <sheetData>
    <row r="1" spans="1:6" ht="21">
      <c r="A1" s="604" t="str">
        <f>+งบแสดงฐานะการเงิน!A1</f>
        <v>องค์การบริหารส่วนตำบลโพนทอง</v>
      </c>
      <c r="B1" s="604"/>
      <c r="C1" s="604"/>
      <c r="D1" s="604"/>
      <c r="E1" s="604"/>
      <c r="F1" s="604"/>
    </row>
    <row r="2" spans="1:6" ht="21">
      <c r="A2" s="604" t="s">
        <v>65</v>
      </c>
      <c r="B2" s="604"/>
      <c r="C2" s="604"/>
      <c r="D2" s="604"/>
      <c r="E2" s="604"/>
      <c r="F2" s="604"/>
    </row>
    <row r="3" spans="1:6" ht="21">
      <c r="A3" s="604" t="s">
        <v>205</v>
      </c>
      <c r="B3" s="604"/>
      <c r="C3" s="604"/>
      <c r="D3" s="604"/>
      <c r="E3" s="604"/>
      <c r="F3" s="604"/>
    </row>
    <row r="5" spans="1:6" ht="21">
      <c r="A5" s="6" t="s">
        <v>66</v>
      </c>
      <c r="D5" s="107">
        <v>2561</v>
      </c>
      <c r="E5" s="107"/>
      <c r="F5" s="107">
        <v>2560</v>
      </c>
    </row>
    <row r="6" spans="2:6" ht="21">
      <c r="B6" s="3" t="s">
        <v>67</v>
      </c>
      <c r="D6" s="71">
        <v>0</v>
      </c>
      <c r="F6" s="71">
        <v>0</v>
      </c>
    </row>
    <row r="7" spans="2:6" ht="21">
      <c r="B7" s="3" t="s">
        <v>527</v>
      </c>
      <c r="D7" s="71">
        <v>5154890.33</v>
      </c>
      <c r="F7" s="71">
        <v>5129212.21</v>
      </c>
    </row>
    <row r="8" spans="2:6" ht="21">
      <c r="B8" s="3" t="s">
        <v>528</v>
      </c>
      <c r="D8" s="71">
        <v>251238.47</v>
      </c>
      <c r="F8" s="71">
        <v>249114.24</v>
      </c>
    </row>
    <row r="9" spans="2:6" ht="21">
      <c r="B9" s="3" t="s">
        <v>529</v>
      </c>
      <c r="D9" s="71">
        <v>7400764.85</v>
      </c>
      <c r="F9" s="71">
        <v>6080294.82</v>
      </c>
    </row>
    <row r="10" spans="2:6" ht="21">
      <c r="B10" s="3" t="s">
        <v>530</v>
      </c>
      <c r="D10" s="71">
        <v>1254756.82</v>
      </c>
      <c r="F10" s="71">
        <v>1243527.25</v>
      </c>
    </row>
    <row r="11" spans="2:6" ht="21">
      <c r="B11" s="3" t="s">
        <v>531</v>
      </c>
      <c r="D11" s="71">
        <v>4300250.53</v>
      </c>
      <c r="F11" s="71">
        <v>6295415.89</v>
      </c>
    </row>
    <row r="12" spans="2:6" ht="21">
      <c r="B12" s="3" t="s">
        <v>533</v>
      </c>
      <c r="D12" s="71">
        <v>558145.51</v>
      </c>
      <c r="F12" s="71">
        <v>476983.53</v>
      </c>
    </row>
    <row r="13" spans="2:6" ht="21">
      <c r="B13" s="3" t="s">
        <v>532</v>
      </c>
      <c r="D13" s="71">
        <v>255689.33</v>
      </c>
      <c r="F13" s="71">
        <v>253401.01</v>
      </c>
    </row>
    <row r="14" spans="4:6" ht="21">
      <c r="D14" s="71"/>
      <c r="F14" s="71"/>
    </row>
    <row r="15" spans="4:6" ht="21">
      <c r="D15" s="71"/>
      <c r="F15" s="71"/>
    </row>
    <row r="16" spans="2:4" ht="21">
      <c r="B16" s="3" t="s">
        <v>195</v>
      </c>
      <c r="D16" s="71"/>
    </row>
    <row r="17" ht="21">
      <c r="D17" s="71"/>
    </row>
    <row r="18" spans="2:6" ht="21.75" thickBot="1">
      <c r="B18" s="155" t="s">
        <v>68</v>
      </c>
      <c r="C18" s="5"/>
      <c r="D18" s="72">
        <f>SUM(D6:D17)</f>
        <v>19175735.84</v>
      </c>
      <c r="F18" s="72">
        <f>SUM(F6:F17)</f>
        <v>19727948.950000003</v>
      </c>
    </row>
    <row r="19" spans="3:4" ht="21.75" thickTop="1">
      <c r="C19" s="5"/>
      <c r="D19" s="96"/>
    </row>
    <row r="20" spans="1:6" ht="21">
      <c r="A20" s="6" t="s">
        <v>206</v>
      </c>
      <c r="D20" s="107">
        <v>2561</v>
      </c>
      <c r="E20" s="107"/>
      <c r="F20" s="188">
        <v>2560</v>
      </c>
    </row>
    <row r="21" spans="2:6" ht="21">
      <c r="B21" s="3" t="s">
        <v>207</v>
      </c>
      <c r="C21" s="5"/>
      <c r="D21" s="96">
        <v>0</v>
      </c>
      <c r="F21" s="71">
        <v>0</v>
      </c>
    </row>
    <row r="22" ht="21">
      <c r="B22" s="3" t="s">
        <v>208</v>
      </c>
    </row>
    <row r="23" spans="1:6" ht="21.75" thickBot="1">
      <c r="A23" s="2"/>
      <c r="B23" s="155" t="s">
        <v>68</v>
      </c>
      <c r="C23" s="5"/>
      <c r="D23" s="72">
        <f>SUM(D21:D22)</f>
        <v>0</v>
      </c>
      <c r="F23" s="72">
        <f>SUM(F21:F22)</f>
        <v>0</v>
      </c>
    </row>
    <row r="24" spans="1:4" ht="21.75" thickTop="1">
      <c r="A24" s="2"/>
      <c r="B24" s="2"/>
      <c r="C24" s="2"/>
      <c r="D24" s="75"/>
    </row>
    <row r="25" spans="1:6" ht="21">
      <c r="A25" s="6" t="s">
        <v>209</v>
      </c>
      <c r="D25" s="107">
        <v>2561</v>
      </c>
      <c r="E25" s="107"/>
      <c r="F25" s="188">
        <v>2560</v>
      </c>
    </row>
    <row r="26" spans="2:6" ht="21">
      <c r="B26" s="3" t="s">
        <v>184</v>
      </c>
      <c r="C26" s="5"/>
      <c r="D26" s="96">
        <v>0</v>
      </c>
      <c r="F26" s="71">
        <v>0</v>
      </c>
    </row>
    <row r="27" ht="21">
      <c r="B27" s="3" t="s">
        <v>195</v>
      </c>
    </row>
    <row r="28" spans="1:6" ht="21.75" thickBot="1">
      <c r="A28" s="2"/>
      <c r="B28" s="155" t="s">
        <v>68</v>
      </c>
      <c r="C28" s="5"/>
      <c r="D28" s="72">
        <f>SUM(D26:D27)</f>
        <v>0</v>
      </c>
      <c r="F28" s="72">
        <f>SUM(F26:F27)</f>
        <v>0</v>
      </c>
    </row>
    <row r="29" ht="21.75" thickTop="1"/>
    <row r="35" ht="21">
      <c r="C35" s="395" t="s">
        <v>334</v>
      </c>
    </row>
    <row r="36" spans="1:6" ht="21">
      <c r="A36" s="6" t="s">
        <v>210</v>
      </c>
      <c r="D36" s="5"/>
      <c r="E36" s="5"/>
      <c r="F36" s="5"/>
    </row>
    <row r="37" ht="21">
      <c r="A37" s="3" t="s">
        <v>181</v>
      </c>
    </row>
    <row r="38" spans="1:6" ht="21">
      <c r="A38" s="108" t="s">
        <v>211</v>
      </c>
      <c r="B38" s="108" t="s">
        <v>76</v>
      </c>
      <c r="C38" s="108" t="s">
        <v>31</v>
      </c>
      <c r="D38" s="603" t="s">
        <v>30</v>
      </c>
      <c r="E38" s="603"/>
      <c r="F38" s="603"/>
    </row>
    <row r="39" spans="1:6" ht="21">
      <c r="A39" s="156" t="s">
        <v>212</v>
      </c>
      <c r="B39" s="156" t="s">
        <v>175</v>
      </c>
      <c r="C39" s="156" t="s">
        <v>213</v>
      </c>
      <c r="D39" s="601">
        <v>0</v>
      </c>
      <c r="E39" s="601"/>
      <c r="F39" s="601"/>
    </row>
    <row r="40" spans="1:6" ht="21">
      <c r="A40" s="603" t="s">
        <v>68</v>
      </c>
      <c r="B40" s="603"/>
      <c r="C40" s="603"/>
      <c r="D40" s="601">
        <f>SUM(D39)</f>
        <v>0</v>
      </c>
      <c r="E40" s="601"/>
      <c r="F40" s="601"/>
    </row>
    <row r="41" spans="1:6" ht="42">
      <c r="A41" s="157" t="s">
        <v>214</v>
      </c>
      <c r="B41" s="158" t="s">
        <v>215</v>
      </c>
      <c r="C41" s="157" t="s">
        <v>216</v>
      </c>
      <c r="D41" s="601">
        <v>0</v>
      </c>
      <c r="E41" s="601"/>
      <c r="F41" s="601"/>
    </row>
    <row r="42" spans="1:6" ht="21">
      <c r="A42" s="603" t="s">
        <v>68</v>
      </c>
      <c r="B42" s="603"/>
      <c r="C42" s="603"/>
      <c r="D42" s="601">
        <f>SUM(D41)</f>
        <v>0</v>
      </c>
      <c r="E42" s="601"/>
      <c r="F42" s="601"/>
    </row>
    <row r="43" spans="1:6" ht="21">
      <c r="A43" s="156" t="s">
        <v>214</v>
      </c>
      <c r="B43" s="156" t="s">
        <v>13</v>
      </c>
      <c r="C43" s="156" t="s">
        <v>217</v>
      </c>
      <c r="D43" s="601">
        <v>0</v>
      </c>
      <c r="E43" s="601"/>
      <c r="F43" s="601"/>
    </row>
    <row r="44" spans="1:6" ht="21">
      <c r="A44" s="603" t="s">
        <v>68</v>
      </c>
      <c r="B44" s="603"/>
      <c r="C44" s="603"/>
      <c r="D44" s="601">
        <f>SUM(D43)</f>
        <v>0</v>
      </c>
      <c r="E44" s="601"/>
      <c r="F44" s="601"/>
    </row>
    <row r="45" spans="1:6" ht="21">
      <c r="A45" s="603" t="s">
        <v>73</v>
      </c>
      <c r="B45" s="603"/>
      <c r="C45" s="603"/>
      <c r="D45" s="602">
        <f>+D40+D42+D44</f>
        <v>0</v>
      </c>
      <c r="E45" s="602"/>
      <c r="F45" s="602"/>
    </row>
    <row r="47" ht="21">
      <c r="A47" s="3" t="s">
        <v>218</v>
      </c>
    </row>
    <row r="48" spans="1:6" ht="21">
      <c r="A48" s="225" t="s">
        <v>211</v>
      </c>
      <c r="B48" s="225" t="s">
        <v>76</v>
      </c>
      <c r="C48" s="225" t="s">
        <v>31</v>
      </c>
      <c r="D48" s="603" t="s">
        <v>30</v>
      </c>
      <c r="E48" s="603"/>
      <c r="F48" s="603"/>
    </row>
    <row r="49" spans="1:6" ht="21">
      <c r="A49" s="172" t="s">
        <v>212</v>
      </c>
      <c r="B49" s="172" t="s">
        <v>175</v>
      </c>
      <c r="C49" s="172" t="s">
        <v>213</v>
      </c>
      <c r="D49" s="601">
        <v>0</v>
      </c>
      <c r="E49" s="601"/>
      <c r="F49" s="601"/>
    </row>
    <row r="50" spans="1:6" ht="21">
      <c r="A50" s="603" t="s">
        <v>68</v>
      </c>
      <c r="B50" s="603"/>
      <c r="C50" s="603"/>
      <c r="D50" s="601">
        <f>SUM(D49)</f>
        <v>0</v>
      </c>
      <c r="E50" s="601"/>
      <c r="F50" s="601"/>
    </row>
    <row r="51" spans="1:6" ht="42">
      <c r="A51" s="157" t="s">
        <v>214</v>
      </c>
      <c r="B51" s="158" t="s">
        <v>215</v>
      </c>
      <c r="C51" s="157" t="s">
        <v>216</v>
      </c>
      <c r="D51" s="601">
        <v>0</v>
      </c>
      <c r="E51" s="601"/>
      <c r="F51" s="601"/>
    </row>
    <row r="52" spans="1:6" ht="21">
      <c r="A52" s="603" t="s">
        <v>68</v>
      </c>
      <c r="B52" s="603"/>
      <c r="C52" s="603"/>
      <c r="D52" s="601">
        <f>SUM(D51)</f>
        <v>0</v>
      </c>
      <c r="E52" s="601"/>
      <c r="F52" s="601"/>
    </row>
    <row r="53" spans="1:6" ht="21">
      <c r="A53" s="172" t="s">
        <v>214</v>
      </c>
      <c r="B53" s="172" t="s">
        <v>13</v>
      </c>
      <c r="C53" s="172" t="s">
        <v>217</v>
      </c>
      <c r="D53" s="601">
        <v>0</v>
      </c>
      <c r="E53" s="601"/>
      <c r="F53" s="601"/>
    </row>
    <row r="54" spans="1:6" ht="21">
      <c r="A54" s="603" t="s">
        <v>68</v>
      </c>
      <c r="B54" s="603"/>
      <c r="C54" s="603"/>
      <c r="D54" s="601">
        <f>SUM(D53)</f>
        <v>0</v>
      </c>
      <c r="E54" s="601"/>
      <c r="F54" s="601"/>
    </row>
    <row r="55" spans="1:6" ht="21">
      <c r="A55" s="603" t="s">
        <v>73</v>
      </c>
      <c r="B55" s="603"/>
      <c r="C55" s="603"/>
      <c r="D55" s="602">
        <f>SUM(D54,D52,D50)</f>
        <v>0</v>
      </c>
      <c r="E55" s="602"/>
      <c r="F55" s="602"/>
    </row>
    <row r="58" spans="1:6" ht="21">
      <c r="A58" s="600" t="s">
        <v>338</v>
      </c>
      <c r="B58" s="600"/>
      <c r="C58" s="5" t="s">
        <v>339</v>
      </c>
      <c r="D58" s="600" t="s">
        <v>342</v>
      </c>
      <c r="E58" s="600"/>
      <c r="F58" s="600"/>
    </row>
    <row r="59" spans="1:6" ht="21">
      <c r="A59" s="600" t="s">
        <v>340</v>
      </c>
      <c r="B59" s="600"/>
      <c r="C59" s="5" t="s">
        <v>372</v>
      </c>
      <c r="D59" s="600" t="s">
        <v>343</v>
      </c>
      <c r="E59" s="600"/>
      <c r="F59" s="600"/>
    </row>
  </sheetData>
  <sheetProtection/>
  <mergeCells count="31">
    <mergeCell ref="D50:F50"/>
    <mergeCell ref="D51:F51"/>
    <mergeCell ref="A52:C52"/>
    <mergeCell ref="A1:F1"/>
    <mergeCell ref="A2:F2"/>
    <mergeCell ref="A3:F3"/>
    <mergeCell ref="D48:F48"/>
    <mergeCell ref="A44:C44"/>
    <mergeCell ref="A45:C45"/>
    <mergeCell ref="D43:F43"/>
    <mergeCell ref="D38:F38"/>
    <mergeCell ref="D39:F39"/>
    <mergeCell ref="D40:F40"/>
    <mergeCell ref="D41:F41"/>
    <mergeCell ref="D42:F42"/>
    <mergeCell ref="D52:F52"/>
    <mergeCell ref="A58:B58"/>
    <mergeCell ref="A40:C40"/>
    <mergeCell ref="A42:C42"/>
    <mergeCell ref="D55:F55"/>
    <mergeCell ref="D49:F49"/>
    <mergeCell ref="A59:B59"/>
    <mergeCell ref="D58:F58"/>
    <mergeCell ref="D59:F59"/>
    <mergeCell ref="D44:F44"/>
    <mergeCell ref="D45:F45"/>
    <mergeCell ref="D53:F53"/>
    <mergeCell ref="A54:C54"/>
    <mergeCell ref="D54:F54"/>
    <mergeCell ref="A55:C55"/>
    <mergeCell ref="A50:C50"/>
  </mergeCells>
  <printOptions/>
  <pageMargins left="0.5118110236220472" right="0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อารียา ปิยะมาสิกุล</dc:creator>
  <cp:keywords/>
  <dc:description/>
  <cp:lastModifiedBy>HomeUser</cp:lastModifiedBy>
  <cp:lastPrinted>2018-10-30T11:34:44Z</cp:lastPrinted>
  <dcterms:created xsi:type="dcterms:W3CDTF">2015-09-06T08:47:00Z</dcterms:created>
  <dcterms:modified xsi:type="dcterms:W3CDTF">2018-10-30T11:34:51Z</dcterms:modified>
  <cp:category/>
  <cp:version/>
  <cp:contentType/>
  <cp:contentStatus/>
</cp:coreProperties>
</file>